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araevBV\Desktop\закупки 2025\1.8 СМР Мирновка\"/>
    </mc:Choice>
  </mc:AlternateContent>
  <xr:revisionPtr revIDLastSave="0" documentId="13_ncr:1_{D0E8D810-9C62-4C08-BD76-EE55BBB0C96E}" xr6:coauthVersionLast="37" xr6:coauthVersionMax="37" xr10:uidLastSave="{00000000-0000-0000-0000-000000000000}"/>
  <bookViews>
    <workbookView xWindow="0" yWindow="0" windowWidth="28800" windowHeight="11625" activeTab="2" xr2:uid="{00000000-000D-0000-FFFF-FFFF00000000}"/>
  </bookViews>
  <sheets>
    <sheet name="ССРСС 2025 Мирн" sheetId="11" r:id="rId1"/>
    <sheet name="НМЦК 2025" sheetId="10" r:id="rId2"/>
    <sheet name="Проект сметы контракта" sheetId="8" r:id="rId3"/>
    <sheet name="Расчет ИД к НМЦК" sheetId="12" r:id="rId4"/>
  </sheets>
  <definedNames>
    <definedName name="_xlnm.Print_Titles" localSheetId="2">'Проект сметы контракта'!$13:$16</definedName>
    <definedName name="_xlnm.Print_Area" localSheetId="2">'Проект сметы контракта'!$A$1:$L$3525</definedName>
  </definedNames>
  <calcPr calcId="179021" refMode="R1C1"/>
</workbook>
</file>

<file path=xl/calcChain.xml><?xml version="1.0" encoding="utf-8"?>
<calcChain xmlns="http://schemas.openxmlformats.org/spreadsheetml/2006/main">
  <c r="M3507" i="8" l="1"/>
  <c r="N3507" i="8"/>
  <c r="I3182" i="8"/>
  <c r="H3496" i="8"/>
  <c r="K3501" i="8"/>
  <c r="I3484" i="8"/>
  <c r="I3183" i="8"/>
  <c r="N12" i="8"/>
  <c r="N11" i="8"/>
  <c r="N8" i="8"/>
  <c r="N7" i="8"/>
  <c r="E25" i="10"/>
  <c r="E24" i="10"/>
  <c r="E23" i="10"/>
  <c r="E22" i="10"/>
  <c r="C25" i="10"/>
  <c r="C24" i="10"/>
  <c r="C23" i="10"/>
  <c r="C22" i="10"/>
  <c r="F37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I91" i="11" l="1"/>
  <c r="I3496" i="8"/>
  <c r="I3495" i="8" s="1"/>
  <c r="I79" i="11"/>
  <c r="H80" i="11"/>
  <c r="I80" i="11" s="1"/>
  <c r="H3495" i="8"/>
  <c r="I90" i="8"/>
  <c r="I17" i="8" s="1"/>
  <c r="I72" i="8"/>
  <c r="I56" i="8"/>
  <c r="B26" i="10"/>
  <c r="B25" i="10"/>
  <c r="B24" i="10"/>
  <c r="B23" i="10"/>
  <c r="B22" i="10"/>
  <c r="I78" i="11"/>
  <c r="I77" i="11"/>
  <c r="I76" i="11"/>
  <c r="I75" i="11"/>
  <c r="I74" i="11"/>
  <c r="I73" i="11"/>
  <c r="E67" i="11"/>
  <c r="E70" i="11" s="1"/>
  <c r="H66" i="11"/>
  <c r="G66" i="11"/>
  <c r="F66" i="11"/>
  <c r="E66" i="11"/>
  <c r="I65" i="11"/>
  <c r="I64" i="11"/>
  <c r="I63" i="11"/>
  <c r="I62" i="11"/>
  <c r="H60" i="11"/>
  <c r="G60" i="11"/>
  <c r="F60" i="11"/>
  <c r="E60" i="11"/>
  <c r="I59" i="11"/>
  <c r="I58" i="11"/>
  <c r="I57" i="11"/>
  <c r="I56" i="11"/>
  <c r="I55" i="11"/>
  <c r="I54" i="11"/>
  <c r="I53" i="11"/>
  <c r="H51" i="11"/>
  <c r="G51" i="11"/>
  <c r="F51" i="11"/>
  <c r="E51" i="11"/>
  <c r="I50" i="11"/>
  <c r="I51" i="11" s="1"/>
  <c r="H48" i="11"/>
  <c r="G48" i="11"/>
  <c r="F48" i="11"/>
  <c r="E48" i="11"/>
  <c r="I47" i="11"/>
  <c r="I48" i="11" s="1"/>
  <c r="H45" i="11"/>
  <c r="G45" i="11"/>
  <c r="F45" i="11"/>
  <c r="E45" i="11"/>
  <c r="I44" i="11"/>
  <c r="I45" i="11" s="1"/>
  <c r="H42" i="11"/>
  <c r="H67" i="11" s="1"/>
  <c r="H71" i="11" s="1"/>
  <c r="G42" i="11"/>
  <c r="G67" i="11" s="1"/>
  <c r="G71" i="11" s="1"/>
  <c r="G81" i="11" s="1"/>
  <c r="G83" i="11" s="1"/>
  <c r="F42" i="11"/>
  <c r="F67" i="11" s="1"/>
  <c r="E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N3503" i="8"/>
  <c r="I3384" i="8"/>
  <c r="B31" i="10" l="1"/>
  <c r="B30" i="10"/>
  <c r="H81" i="11"/>
  <c r="H83" i="11" s="1"/>
  <c r="H86" i="11" s="1"/>
  <c r="H87" i="11" s="1"/>
  <c r="I42" i="11"/>
  <c r="I66" i="11"/>
  <c r="I60" i="11"/>
  <c r="I67" i="11"/>
  <c r="G86" i="11"/>
  <c r="G87" i="11" s="1"/>
  <c r="F70" i="11"/>
  <c r="I70" i="11" s="1"/>
  <c r="E71" i="11"/>
  <c r="E81" i="11" s="1"/>
  <c r="E83" i="11" s="1"/>
  <c r="D25" i="10"/>
  <c r="D24" i="10"/>
  <c r="F24" i="10" s="1"/>
  <c r="M3501" i="8" s="1"/>
  <c r="D23" i="10"/>
  <c r="F23" i="10" s="1"/>
  <c r="M3500" i="8" s="1"/>
  <c r="F25" i="10" l="1"/>
  <c r="G25" i="10" s="1"/>
  <c r="B32" i="10"/>
  <c r="B33" i="10" s="1"/>
  <c r="G24" i="10"/>
  <c r="G23" i="10"/>
  <c r="H90" i="11"/>
  <c r="H91" i="11" s="1"/>
  <c r="G90" i="11"/>
  <c r="G91" i="11" s="1"/>
  <c r="F71" i="11"/>
  <c r="F81" i="11" s="1"/>
  <c r="F83" i="11" s="1"/>
  <c r="I71" i="11"/>
  <c r="I81" i="11" s="1"/>
  <c r="I83" i="11" s="1"/>
  <c r="E86" i="11"/>
  <c r="E87" i="11" s="1"/>
  <c r="M3502" i="8" l="1"/>
  <c r="F86" i="11"/>
  <c r="F87" i="11" s="1"/>
  <c r="E90" i="11"/>
  <c r="I86" i="11"/>
  <c r="I87" i="11" s="1"/>
  <c r="D22" i="10"/>
  <c r="D26" i="10" l="1"/>
  <c r="D30" i="10" s="1"/>
  <c r="F90" i="11"/>
  <c r="F91" i="11"/>
  <c r="I90" i="11"/>
  <c r="E91" i="11"/>
  <c r="F22" i="10"/>
  <c r="F26" i="10" l="1"/>
  <c r="M3499" i="8" s="1"/>
  <c r="M3497" i="8" s="1"/>
  <c r="M3504" i="8" s="1"/>
  <c r="M3505" i="8" s="1"/>
  <c r="M3506" i="8" s="1"/>
  <c r="D31" i="10"/>
  <c r="D32" i="10" s="1"/>
  <c r="D33" i="10" s="1"/>
  <c r="G22" i="10"/>
  <c r="F30" i="10" l="1"/>
  <c r="F31" i="10" s="1"/>
  <c r="G26" i="10"/>
  <c r="G30" i="10" l="1"/>
  <c r="G31" i="10"/>
  <c r="G32" i="10" s="1"/>
  <c r="G33" i="10" s="1"/>
  <c r="F32" i="10"/>
  <c r="F33" i="10" s="1"/>
  <c r="I3275" i="8" l="1"/>
  <c r="I3192" i="8"/>
  <c r="I3171" i="8"/>
  <c r="I3124" i="8"/>
  <c r="I2829" i="8"/>
  <c r="I2748" i="8"/>
  <c r="I2624" i="8"/>
  <c r="I2619" i="8"/>
  <c r="I2543" i="8"/>
  <c r="I2563" i="8"/>
  <c r="I2519" i="8"/>
  <c r="I2439" i="8"/>
  <c r="I2442" i="8"/>
  <c r="I2365" i="8"/>
  <c r="I2345" i="8"/>
  <c r="I2227" i="8"/>
  <c r="I2228" i="8"/>
  <c r="I2124" i="8"/>
  <c r="I2118" i="8"/>
  <c r="I1885" i="8"/>
  <c r="I1729" i="8"/>
  <c r="I1708" i="8"/>
  <c r="I1641" i="8"/>
  <c r="I1080" i="8"/>
  <c r="I1084" i="8"/>
  <c r="I993" i="8"/>
  <c r="I994" i="8"/>
  <c r="I708" i="8"/>
  <c r="I711" i="8"/>
  <c r="I559" i="8"/>
  <c r="I462" i="8"/>
  <c r="I283" i="8"/>
  <c r="I3502" i="8"/>
  <c r="I3492" i="8"/>
  <c r="I3490" i="8"/>
  <c r="I3486" i="8"/>
  <c r="I3483" i="8"/>
  <c r="N9" i="8"/>
  <c r="J21" i="8" l="1"/>
  <c r="J20" i="8"/>
  <c r="J22" i="8"/>
  <c r="K22" i="8" s="1"/>
  <c r="J3393" i="8"/>
  <c r="K3393" i="8" s="1"/>
  <c r="J3387" i="8"/>
  <c r="K3387" i="8" s="1"/>
  <c r="J3390" i="8"/>
  <c r="K3390" i="8" s="1"/>
  <c r="J3391" i="8"/>
  <c r="K3391" i="8" s="1"/>
  <c r="J62" i="8"/>
  <c r="K62" i="8" s="1"/>
  <c r="J3398" i="8"/>
  <c r="K3398" i="8" s="1"/>
  <c r="J3399" i="8"/>
  <c r="K3399" i="8" s="1"/>
  <c r="J3397" i="8"/>
  <c r="K3397" i="8" s="1"/>
  <c r="J64" i="8"/>
  <c r="J3396" i="8"/>
  <c r="K3396" i="8" s="1"/>
  <c r="J3395" i="8"/>
  <c r="K3395" i="8" s="1"/>
  <c r="J3389" i="8"/>
  <c r="K3389" i="8" s="1"/>
  <c r="J63" i="8"/>
  <c r="J3386" i="8"/>
  <c r="K3386" i="8" s="1"/>
  <c r="J3392" i="8"/>
  <c r="K3392" i="8" s="1"/>
  <c r="J65" i="8"/>
  <c r="J3394" i="8"/>
  <c r="K3394" i="8" s="1"/>
  <c r="J66" i="8"/>
  <c r="I3481" i="8"/>
  <c r="I3476" i="8"/>
  <c r="I3501" i="8" s="1"/>
  <c r="I3431" i="8"/>
  <c r="I3347" i="8"/>
  <c r="I3273" i="8"/>
  <c r="I3190" i="8"/>
  <c r="I3161" i="8"/>
  <c r="I3160" i="8"/>
  <c r="I3122" i="8"/>
  <c r="I3121" i="8"/>
  <c r="I3106" i="8"/>
  <c r="I3105" i="8"/>
  <c r="I2826" i="8"/>
  <c r="I2825" i="8"/>
  <c r="I2745" i="8"/>
  <c r="I2621" i="8"/>
  <c r="I2620" i="8"/>
  <c r="I2598" i="8"/>
  <c r="I2541" i="8"/>
  <c r="I2540" i="8"/>
  <c r="I2517" i="8"/>
  <c r="I2516" i="8"/>
  <c r="I2437" i="8"/>
  <c r="I2436" i="8"/>
  <c r="I2363" i="8"/>
  <c r="I2362" i="8"/>
  <c r="I2343" i="8"/>
  <c r="I2342" i="8"/>
  <c r="I2225" i="8"/>
  <c r="U2225" i="8" s="1"/>
  <c r="I2224" i="8"/>
  <c r="I2122" i="8"/>
  <c r="I2117" i="8"/>
  <c r="I2116" i="8"/>
  <c r="I1867" i="8"/>
  <c r="I1866" i="8"/>
  <c r="I1727" i="8"/>
  <c r="I1639" i="8"/>
  <c r="I1638" i="8"/>
  <c r="I1077" i="8"/>
  <c r="I1076" i="8"/>
  <c r="T1022" i="8"/>
  <c r="T991" i="8"/>
  <c r="I991" i="8"/>
  <c r="I990" i="8"/>
  <c r="I706" i="8"/>
  <c r="I705" i="8"/>
  <c r="I614" i="8"/>
  <c r="I613" i="8"/>
  <c r="I556" i="8"/>
  <c r="I460" i="8"/>
  <c r="I425" i="8"/>
  <c r="I280" i="8"/>
  <c r="I3497" i="8" l="1"/>
  <c r="I3500" i="8"/>
  <c r="U991" i="8"/>
  <c r="I3499" i="8" l="1"/>
  <c r="I3503" i="8" s="1"/>
  <c r="I3504" i="8" s="1"/>
  <c r="I3505" i="8" l="1"/>
  <c r="I3506" i="8" s="1"/>
  <c r="I3507" i="8" s="1"/>
  <c r="J2054" i="8" l="1"/>
  <c r="K2054" i="8" s="1"/>
  <c r="J2380" i="8"/>
  <c r="K2380" i="8" s="1"/>
  <c r="J1920" i="8"/>
  <c r="K1920" i="8" s="1"/>
  <c r="J2433" i="8"/>
  <c r="K2433" i="8" s="1"/>
  <c r="J1930" i="8"/>
  <c r="K1930" i="8" s="1"/>
  <c r="J1941" i="8"/>
  <c r="K1941" i="8" s="1"/>
  <c r="J1899" i="8"/>
  <c r="K1899" i="8" s="1"/>
  <c r="J1911" i="8"/>
  <c r="K1911" i="8" s="1"/>
  <c r="J1709" i="8"/>
  <c r="K1709" i="8" s="1"/>
  <c r="J2018" i="8"/>
  <c r="K2018" i="8" s="1"/>
  <c r="J1896" i="8"/>
  <c r="K1896" i="8" s="1"/>
  <c r="J2472" i="8"/>
  <c r="K2472" i="8" s="1"/>
  <c r="J1024" i="8"/>
  <c r="K1024" i="8" s="1"/>
  <c r="J2020" i="8"/>
  <c r="K2020" i="8" s="1"/>
  <c r="J2258" i="8"/>
  <c r="K2258" i="8" s="1"/>
  <c r="J2026" i="8"/>
  <c r="K2026" i="8" s="1"/>
  <c r="J1950" i="8"/>
  <c r="K1950" i="8" s="1"/>
  <c r="J2099" i="8"/>
  <c r="K2099" i="8" s="1"/>
  <c r="J2473" i="8"/>
  <c r="K2473" i="8" s="1"/>
  <c r="J2025" i="8"/>
  <c r="K2025" i="8" s="1"/>
  <c r="J1914" i="8"/>
  <c r="K1914" i="8" s="1"/>
  <c r="J2100" i="8"/>
  <c r="K2100" i="8" s="1"/>
  <c r="J2114" i="8"/>
  <c r="K2114" i="8" s="1"/>
  <c r="J2113" i="8"/>
  <c r="K2113" i="8" s="1"/>
  <c r="J2228" i="8"/>
  <c r="K2228" i="8" s="1"/>
  <c r="J1137" i="8"/>
  <c r="K1137" i="8" s="1"/>
  <c r="J2047" i="8"/>
  <c r="K2047" i="8" s="1"/>
  <c r="J2416" i="8"/>
  <c r="K2416" i="8" s="1"/>
  <c r="J2045" i="8"/>
  <c r="K2045" i="8" s="1"/>
  <c r="J3117" i="8"/>
  <c r="K3117" i="8" s="1"/>
  <c r="K3106" i="8" s="1"/>
  <c r="J2462" i="8"/>
  <c r="K2462" i="8" s="1"/>
  <c r="J1037" i="8"/>
  <c r="K1037" i="8" s="1"/>
  <c r="J2466" i="8"/>
  <c r="K2466" i="8" s="1"/>
  <c r="J2400" i="8"/>
  <c r="K2400" i="8" s="1"/>
  <c r="J2263" i="8"/>
  <c r="K2263" i="8" s="1"/>
  <c r="J2242" i="8"/>
  <c r="K2242" i="8" s="1"/>
  <c r="J1882" i="8"/>
  <c r="K1882" i="8" s="1"/>
  <c r="J2076" i="8"/>
  <c r="K2076" i="8" s="1"/>
  <c r="J1613" i="8"/>
  <c r="K1613" i="8" s="1"/>
  <c r="J1905" i="8"/>
  <c r="K1905" i="8" s="1"/>
  <c r="J2539" i="8"/>
  <c r="K2539" i="8" s="1"/>
  <c r="K2517" i="8" s="1"/>
  <c r="J2090" i="8"/>
  <c r="K2090" i="8" s="1"/>
  <c r="J1566" i="8"/>
  <c r="K1566" i="8" s="1"/>
  <c r="J3477" i="8"/>
  <c r="K3477" i="8" s="1"/>
  <c r="J1226" i="8"/>
  <c r="K1226" i="8" s="1"/>
  <c r="J2011" i="8"/>
  <c r="K2011" i="8" s="1"/>
  <c r="J2009" i="8"/>
  <c r="K2009" i="8" s="1"/>
  <c r="J2107" i="8"/>
  <c r="K2107" i="8" s="1"/>
  <c r="J1952" i="8"/>
  <c r="K1952" i="8" s="1"/>
  <c r="J2098" i="8"/>
  <c r="K2098" i="8" s="1"/>
  <c r="J1489" i="8"/>
  <c r="K1489" i="8" s="1"/>
  <c r="J2389" i="8"/>
  <c r="K2389" i="8" s="1"/>
  <c r="J1910" i="8"/>
  <c r="K1910" i="8" s="1"/>
  <c r="J2108" i="8"/>
  <c r="K2108" i="8" s="1"/>
  <c r="J2465" i="8"/>
  <c r="K2465" i="8" s="1"/>
  <c r="J2082" i="8"/>
  <c r="K2082" i="8" s="1"/>
  <c r="J2372" i="8"/>
  <c r="K2372" i="8" s="1"/>
  <c r="J1430" i="8"/>
  <c r="K1430" i="8" s="1"/>
  <c r="J2071" i="8"/>
  <c r="K2071" i="8" s="1"/>
  <c r="J2043" i="8"/>
  <c r="K2043" i="8" s="1"/>
  <c r="J2395" i="8"/>
  <c r="K2395" i="8" s="1"/>
  <c r="J1412" i="8"/>
  <c r="K1412" i="8" s="1"/>
  <c r="J3482" i="8"/>
  <c r="K3482" i="8" s="1"/>
  <c r="K3481" i="8" s="1"/>
  <c r="J1011" i="8"/>
  <c r="K1011" i="8" s="1"/>
  <c r="J2349" i="8"/>
  <c r="K2349" i="8" s="1"/>
  <c r="J1901" i="8"/>
  <c r="K1901" i="8" s="1"/>
  <c r="J3480" i="8"/>
  <c r="K3480" i="8" s="1"/>
  <c r="J2414" i="8"/>
  <c r="K2414" i="8" s="1"/>
  <c r="J2374" i="8"/>
  <c r="K2374" i="8" s="1"/>
  <c r="J3491" i="8"/>
  <c r="K3491" i="8" s="1"/>
  <c r="K3490" i="8" s="1"/>
  <c r="J1893" i="8"/>
  <c r="K1893" i="8" s="1"/>
  <c r="J1721" i="8"/>
  <c r="K1721" i="8" s="1"/>
  <c r="J2088" i="8"/>
  <c r="K2088" i="8" s="1"/>
  <c r="J1934" i="8"/>
  <c r="K1934" i="8" s="1"/>
  <c r="J1615" i="8"/>
  <c r="K1615" i="8" s="1"/>
  <c r="J2044" i="8"/>
  <c r="K2044" i="8" s="1"/>
  <c r="J2262" i="8"/>
  <c r="K2262" i="8" s="1"/>
  <c r="J1936" i="8"/>
  <c r="K1936" i="8" s="1"/>
  <c r="J2015" i="8"/>
  <c r="K2015" i="8" s="1"/>
  <c r="J2074" i="8"/>
  <c r="K2074" i="8" s="1"/>
  <c r="J1875" i="8"/>
  <c r="K1875" i="8" s="1"/>
  <c r="J1948" i="8"/>
  <c r="K1948" i="8" s="1"/>
  <c r="J1980" i="8"/>
  <c r="K1980" i="8" s="1"/>
  <c r="J2301" i="8"/>
  <c r="K2301" i="8" s="1"/>
  <c r="J2021" i="8"/>
  <c r="K2021" i="8" s="1"/>
  <c r="J2442" i="8"/>
  <c r="K2442" i="8" s="1"/>
  <c r="J2300" i="8"/>
  <c r="K2300" i="8" s="1"/>
  <c r="J2091" i="8"/>
  <c r="K2091" i="8" s="1"/>
  <c r="J1921" i="8"/>
  <c r="K1921" i="8" s="1"/>
  <c r="J1378" i="8"/>
  <c r="K1378" i="8" s="1"/>
  <c r="J1990" i="8"/>
  <c r="K1990" i="8" s="1"/>
  <c r="J2048" i="8"/>
  <c r="K2048" i="8" s="1"/>
  <c r="J2435" i="8"/>
  <c r="K2435" i="8" s="1"/>
  <c r="J999" i="8"/>
  <c r="K999" i="8" s="1"/>
  <c r="J3489" i="8"/>
  <c r="K3489" i="8" s="1"/>
  <c r="J2244" i="8"/>
  <c r="K2244" i="8" s="1"/>
  <c r="J2484" i="8"/>
  <c r="K2484" i="8" s="1"/>
  <c r="J2253" i="8"/>
  <c r="K2253" i="8" s="1"/>
  <c r="J3494" i="8"/>
  <c r="K3494" i="8" s="1"/>
  <c r="J1970" i="8"/>
  <c r="K1970" i="8" s="1"/>
  <c r="J2597" i="8"/>
  <c r="K2597" i="8" s="1"/>
  <c r="J1964" i="8"/>
  <c r="K1964" i="8" s="1"/>
  <c r="J1874" i="8"/>
  <c r="K1874" i="8" s="1"/>
  <c r="J1879" i="8"/>
  <c r="K1879" i="8" s="1"/>
  <c r="J2094" i="8"/>
  <c r="K2094" i="8" s="1"/>
  <c r="J3485" i="8"/>
  <c r="K3485" i="8" s="1"/>
  <c r="J1045" i="8"/>
  <c r="K1045" i="8" s="1"/>
  <c r="J1873" i="8"/>
  <c r="K1873" i="8" s="1"/>
  <c r="J2385" i="8"/>
  <c r="K2385" i="8" s="1"/>
  <c r="J2006" i="8"/>
  <c r="K2006" i="8" s="1"/>
  <c r="J1992" i="8"/>
  <c r="K1992" i="8" s="1"/>
  <c r="J2112" i="8"/>
  <c r="K2112" i="8" s="1"/>
  <c r="J1957" i="8"/>
  <c r="K1957" i="8" s="1"/>
  <c r="J1965" i="8"/>
  <c r="K1965" i="8" s="1"/>
  <c r="J2232" i="8"/>
  <c r="K2232" i="8" s="1"/>
  <c r="J1978" i="8"/>
  <c r="K1978" i="8" s="1"/>
  <c r="J2419" i="8"/>
  <c r="K2419" i="8" s="1"/>
  <c r="J2368" i="8"/>
  <c r="K2368" i="8" s="1"/>
  <c r="J2080" i="8"/>
  <c r="K2080" i="8" s="1"/>
  <c r="J2034" i="8"/>
  <c r="K2034" i="8" s="1"/>
  <c r="J1915" i="8"/>
  <c r="K1915" i="8" s="1"/>
  <c r="J2445" i="8"/>
  <c r="K2445" i="8" s="1"/>
  <c r="J2060" i="8"/>
  <c r="K2060" i="8" s="1"/>
  <c r="J2005" i="8"/>
  <c r="K2005" i="8" s="1"/>
  <c r="J2712" i="8"/>
  <c r="K2712" i="8" s="1"/>
  <c r="J1086" i="8"/>
  <c r="K1086" i="8" s="1"/>
  <c r="J3478" i="8"/>
  <c r="K3478" i="8" s="1"/>
  <c r="J2383" i="8"/>
  <c r="K2383" i="8" s="1"/>
  <c r="J864" i="8"/>
  <c r="K864" i="8" s="1"/>
  <c r="J2089" i="8"/>
  <c r="K2089" i="8" s="1"/>
  <c r="J2955" i="8"/>
  <c r="K2955" i="8" s="1"/>
  <c r="K2826" i="8" s="1"/>
  <c r="J1977" i="8"/>
  <c r="K1977" i="8" s="1"/>
  <c r="J2418" i="8"/>
  <c r="K2418" i="8" s="1"/>
  <c r="J1953" i="8"/>
  <c r="K1953" i="8" s="1"/>
  <c r="J3487" i="8"/>
  <c r="K3487" i="8" s="1"/>
  <c r="J1271" i="8"/>
  <c r="K1271" i="8" s="1"/>
  <c r="J2066" i="8"/>
  <c r="K2066" i="8" s="1"/>
  <c r="J3488" i="8"/>
  <c r="K3488" i="8" s="1"/>
  <c r="J1325" i="8"/>
  <c r="K1325" i="8" s="1"/>
  <c r="J1459" i="8"/>
  <c r="K1459" i="8" s="1"/>
  <c r="J2037" i="8"/>
  <c r="K2037" i="8" s="1"/>
  <c r="J2255" i="8"/>
  <c r="K2255" i="8" s="1"/>
  <c r="J2004" i="8"/>
  <c r="K2004" i="8" s="1"/>
  <c r="J1997" i="8"/>
  <c r="K1997" i="8" s="1"/>
  <c r="J1923" i="8"/>
  <c r="K1923" i="8" s="1"/>
  <c r="J1927" i="8"/>
  <c r="K1927" i="8" s="1"/>
  <c r="J1935" i="8"/>
  <c r="K1935" i="8" s="1"/>
  <c r="J2233" i="8"/>
  <c r="K2233" i="8" s="1"/>
  <c r="J2256" i="8"/>
  <c r="K2256" i="8" s="1"/>
  <c r="J3172" i="8"/>
  <c r="K3172" i="8" s="1"/>
  <c r="J2102" i="8"/>
  <c r="K2102" i="8" s="1"/>
  <c r="J1712" i="8"/>
  <c r="K1712" i="8" s="1"/>
  <c r="J2078" i="8"/>
  <c r="K2078" i="8" s="1"/>
  <c r="J3156" i="8"/>
  <c r="K3156" i="8" s="1"/>
  <c r="K3122" i="8" s="1"/>
  <c r="J2041" i="8"/>
  <c r="K2041" i="8" s="1"/>
  <c r="J2467" i="8"/>
  <c r="K2467" i="8" s="1"/>
  <c r="J2105" i="8"/>
  <c r="K2105" i="8" s="1"/>
  <c r="J2563" i="8"/>
  <c r="K2563" i="8" s="1"/>
  <c r="J2455" i="8"/>
  <c r="K2455" i="8" s="1"/>
  <c r="J2029" i="8"/>
  <c r="K2029" i="8" s="1"/>
  <c r="J1720" i="8"/>
  <c r="K1720" i="8" s="1"/>
  <c r="J3493" i="8"/>
  <c r="K3493" i="8" s="1"/>
  <c r="J2103" i="8"/>
  <c r="K2103" i="8" s="1"/>
  <c r="J1908" i="8"/>
  <c r="K1908" i="8" s="1"/>
  <c r="J2401" i="8"/>
  <c r="K2401" i="8" s="1"/>
  <c r="J1583" i="8"/>
  <c r="K1583" i="8" s="1"/>
  <c r="J2058" i="8"/>
  <c r="K2058" i="8" s="1"/>
  <c r="J1880" i="8"/>
  <c r="K1880" i="8" s="1"/>
  <c r="J2115" i="8"/>
  <c r="K2115" i="8" s="1"/>
  <c r="J1529" i="8"/>
  <c r="K1529" i="8" s="1"/>
  <c r="J2030" i="8"/>
  <c r="K2030" i="8" s="1"/>
  <c r="J1894" i="8"/>
  <c r="K1894" i="8" s="1"/>
  <c r="J1903" i="8"/>
  <c r="K1903" i="8" s="1"/>
  <c r="J1988" i="8"/>
  <c r="K1988" i="8" s="1"/>
  <c r="J2443" i="8"/>
  <c r="K2443" i="8" s="1"/>
  <c r="J1960" i="8"/>
  <c r="K1960" i="8" s="1"/>
  <c r="J2231" i="8"/>
  <c r="K2231" i="8" s="1"/>
  <c r="J2085" i="8"/>
  <c r="K2085" i="8" s="1"/>
  <c r="J2351" i="8"/>
  <c r="K2351" i="8" s="1"/>
  <c r="J2106" i="8"/>
  <c r="K2106" i="8" s="1"/>
  <c r="J2070" i="8"/>
  <c r="K2070" i="8" s="1"/>
  <c r="J1716" i="8"/>
  <c r="K1716" i="8" s="1"/>
  <c r="J2057" i="8"/>
  <c r="K2057" i="8" s="1"/>
  <c r="J2069" i="8"/>
  <c r="K2069" i="8" s="1"/>
  <c r="J1962" i="8"/>
  <c r="K1962" i="8" s="1"/>
  <c r="J1884" i="8"/>
  <c r="K1884" i="8" s="1"/>
  <c r="J2393" i="8"/>
  <c r="K2393" i="8" s="1"/>
  <c r="J701" i="8"/>
  <c r="K701" i="8" s="1"/>
  <c r="K614" i="8" s="1"/>
  <c r="J2444" i="8"/>
  <c r="K2444" i="8" s="1"/>
  <c r="J2033" i="8"/>
  <c r="K2033" i="8" s="1"/>
  <c r="J1033" i="8"/>
  <c r="K1033" i="8" s="1"/>
  <c r="J1947" i="8"/>
  <c r="K1947" i="8" s="1"/>
  <c r="J2381" i="8"/>
  <c r="K2381" i="8" s="1"/>
  <c r="J2024" i="8"/>
  <c r="K2024" i="8" s="1"/>
  <c r="J1004" i="8"/>
  <c r="K1004" i="8" s="1"/>
  <c r="J1904" i="8"/>
  <c r="K1904" i="8" s="1"/>
  <c r="J2237" i="8"/>
  <c r="K2237" i="8" s="1"/>
  <c r="J1973" i="8"/>
  <c r="K1973" i="8" s="1"/>
  <c r="J709" i="8"/>
  <c r="K709" i="8" s="1"/>
  <c r="J1898" i="8"/>
  <c r="K1898" i="8" s="1"/>
  <c r="J1946" i="8"/>
  <c r="K1946" i="8" s="1"/>
  <c r="J3183" i="8"/>
  <c r="K3183" i="8" s="1"/>
  <c r="J1883" i="8"/>
  <c r="K1883" i="8" s="1"/>
  <c r="J1902" i="8"/>
  <c r="K1902" i="8" s="1"/>
  <c r="J2013" i="8"/>
  <c r="K2013" i="8" s="1"/>
  <c r="J1708" i="8"/>
  <c r="K1708" i="8" s="1"/>
  <c r="J1924" i="8"/>
  <c r="K1924" i="8" s="1"/>
  <c r="J2387" i="8"/>
  <c r="K2387" i="8" s="1"/>
  <c r="J1496" i="8"/>
  <c r="K1496" i="8" s="1"/>
  <c r="J2434" i="8"/>
  <c r="K2434" i="8" s="1"/>
  <c r="J1881" i="8"/>
  <c r="K1881" i="8" s="1"/>
  <c r="J2240" i="8"/>
  <c r="K2240" i="8" s="1"/>
  <c r="J1366" i="8"/>
  <c r="K1366" i="8" s="1"/>
  <c r="J1987" i="8"/>
  <c r="K1987" i="8" s="1"/>
  <c r="J1711" i="8"/>
  <c r="K1711" i="8" s="1"/>
  <c r="J2087" i="8"/>
  <c r="K2087" i="8" s="1"/>
  <c r="J1239" i="8"/>
  <c r="K1239" i="8" s="1"/>
  <c r="J2391" i="8"/>
  <c r="K2391" i="8" s="1"/>
  <c r="J1531" i="8"/>
  <c r="K1531" i="8" s="1"/>
  <c r="J2067" i="8"/>
  <c r="K2067" i="8" s="1"/>
  <c r="J1084" i="8"/>
  <c r="K1084" i="8" s="1"/>
  <c r="J2247" i="8"/>
  <c r="K2247" i="8" s="1"/>
  <c r="J1382" i="8"/>
  <c r="K1382" i="8" s="1"/>
  <c r="J2031" i="8"/>
  <c r="K2031" i="8" s="1"/>
  <c r="J1031" i="8"/>
  <c r="K1031" i="8" s="1"/>
  <c r="J2086" i="8"/>
  <c r="K2086" i="8" s="1"/>
  <c r="J1241" i="8"/>
  <c r="K1241" i="8" s="1"/>
  <c r="J2002" i="8"/>
  <c r="K2002" i="8" s="1"/>
  <c r="J1002" i="8"/>
  <c r="K1002" i="8" s="1"/>
  <c r="J2084" i="8"/>
  <c r="K2084" i="8" s="1"/>
  <c r="J1365" i="8"/>
  <c r="K1365" i="8" s="1"/>
  <c r="J1999" i="8"/>
  <c r="K1999" i="8" s="1"/>
  <c r="J998" i="8"/>
  <c r="K998" i="8" s="1"/>
  <c r="J1887" i="8"/>
  <c r="K1887" i="8" s="1"/>
  <c r="J2081" i="8"/>
  <c r="K2081" i="8" s="1"/>
  <c r="J1185" i="8"/>
  <c r="K1185" i="8" s="1"/>
  <c r="J1954" i="8"/>
  <c r="K1954" i="8" s="1"/>
  <c r="J2678" i="8"/>
  <c r="K2678" i="8" s="1"/>
  <c r="J1715" i="8"/>
  <c r="K1715" i="8" s="1"/>
  <c r="J2051" i="8"/>
  <c r="K2051" i="8" s="1"/>
  <c r="J1042" i="8"/>
  <c r="K1042" i="8" s="1"/>
  <c r="J1922" i="8"/>
  <c r="K1922" i="8" s="1"/>
  <c r="J1007" i="8"/>
  <c r="K1007" i="8" s="1"/>
  <c r="J2251" i="8"/>
  <c r="K2251" i="8" s="1"/>
  <c r="J1009" i="8"/>
  <c r="K1009" i="8" s="1"/>
  <c r="J2264" i="8"/>
  <c r="K2264" i="8" s="1"/>
  <c r="J1971" i="8"/>
  <c r="K1971" i="8" s="1"/>
  <c r="J1317" i="8"/>
  <c r="K1317" i="8" s="1"/>
  <c r="J1039" i="8"/>
  <c r="K1039" i="8" s="1"/>
  <c r="J2092" i="8"/>
  <c r="K2092" i="8" s="1"/>
  <c r="J1237" i="8"/>
  <c r="K1237" i="8" s="1"/>
  <c r="J1966" i="8"/>
  <c r="K1966" i="8" s="1"/>
  <c r="J3496" i="8"/>
  <c r="J1725" i="8"/>
  <c r="K1725" i="8" s="1"/>
  <c r="J2046" i="8"/>
  <c r="K2046" i="8" s="1"/>
  <c r="J1049" i="8"/>
  <c r="K1049" i="8" s="1"/>
  <c r="J1942" i="8"/>
  <c r="K1942" i="8" s="1"/>
  <c r="J2453" i="8"/>
  <c r="K2453" i="8" s="1"/>
  <c r="J1602" i="8"/>
  <c r="K1602" i="8" s="1"/>
  <c r="J2017" i="8"/>
  <c r="K2017" i="8" s="1"/>
  <c r="J1016" i="8"/>
  <c r="K1016" i="8" s="1"/>
  <c r="J1878" i="8"/>
  <c r="K1878" i="8" s="1"/>
  <c r="J2450" i="8"/>
  <c r="K2450" i="8" s="1"/>
  <c r="J1959" i="8"/>
  <c r="K1959" i="8" s="1"/>
  <c r="J2052" i="8"/>
  <c r="K2052" i="8" s="1"/>
  <c r="J1718" i="8"/>
  <c r="K1718" i="8" s="1"/>
  <c r="J2062" i="8"/>
  <c r="K2062" i="8" s="1"/>
  <c r="J1490" i="8"/>
  <c r="K1490" i="8" s="1"/>
  <c r="J1886" i="8"/>
  <c r="K1886" i="8" s="1"/>
  <c r="J2068" i="8"/>
  <c r="K2068" i="8" s="1"/>
  <c r="J1054" i="8"/>
  <c r="K1054" i="8" s="1"/>
  <c r="J1937" i="8"/>
  <c r="K1937" i="8" s="1"/>
  <c r="J2476" i="8"/>
  <c r="K2476" i="8" s="1"/>
  <c r="J1614" i="8"/>
  <c r="K1614" i="8" s="1"/>
  <c r="J2010" i="8"/>
  <c r="K2010" i="8" s="1"/>
  <c r="J1022" i="8"/>
  <c r="K1022" i="8" s="1"/>
  <c r="J1913" i="8"/>
  <c r="K1913" i="8" s="1"/>
  <c r="J2302" i="8"/>
  <c r="K2302" i="8" s="1"/>
  <c r="J1423" i="8"/>
  <c r="K1423" i="8" s="1"/>
  <c r="J1984" i="8"/>
  <c r="K1984" i="8" s="1"/>
  <c r="J844" i="8"/>
  <c r="K844" i="8" s="1"/>
  <c r="J1710" i="8"/>
  <c r="K1710" i="8" s="1"/>
  <c r="J1982" i="8"/>
  <c r="K1982" i="8" s="1"/>
  <c r="J1398" i="8"/>
  <c r="K1398" i="8" s="1"/>
  <c r="J2039" i="8"/>
  <c r="K2039" i="8" s="1"/>
  <c r="J2111" i="8"/>
  <c r="K2111" i="8" s="1"/>
  <c r="J1918" i="8"/>
  <c r="K1918" i="8" s="1"/>
  <c r="J1909" i="8"/>
  <c r="K1909" i="8" s="1"/>
  <c r="J1994" i="8"/>
  <c r="K1994" i="8" s="1"/>
  <c r="J1139" i="8"/>
  <c r="K1139" i="8" s="1"/>
  <c r="J2028" i="8"/>
  <c r="K2028" i="8" s="1"/>
  <c r="J1029" i="8"/>
  <c r="K1029" i="8" s="1"/>
  <c r="J1907" i="8"/>
  <c r="K1907" i="8" s="1"/>
  <c r="J2376" i="8"/>
  <c r="K2376" i="8" s="1"/>
  <c r="J1465" i="8"/>
  <c r="K1465" i="8" s="1"/>
  <c r="J1995" i="8"/>
  <c r="K1995" i="8" s="1"/>
  <c r="J994" i="8"/>
  <c r="K994" i="8" s="1"/>
  <c r="J1889" i="8"/>
  <c r="K1889" i="8" s="1"/>
  <c r="J2104" i="8"/>
  <c r="K2104" i="8" s="1"/>
  <c r="J1306" i="8"/>
  <c r="K1306" i="8" s="1"/>
  <c r="J1956" i="8"/>
  <c r="K1956" i="8" s="1"/>
  <c r="J2399" i="8"/>
  <c r="K2399" i="8" s="1"/>
  <c r="J1538" i="8"/>
  <c r="K1538" i="8" s="1"/>
  <c r="J1562" i="8"/>
  <c r="K1562" i="8" s="1"/>
  <c r="J2110" i="8"/>
  <c r="K2110" i="8" s="1"/>
  <c r="J2019" i="8"/>
  <c r="K2019" i="8" s="1"/>
  <c r="J1979" i="8"/>
  <c r="K1979" i="8" s="1"/>
  <c r="J1958" i="8"/>
  <c r="K1958" i="8" s="1"/>
  <c r="J2007" i="8"/>
  <c r="K2007" i="8" s="1"/>
  <c r="J1714" i="8"/>
  <c r="K1714" i="8" s="1"/>
  <c r="J1998" i="8"/>
  <c r="K1998" i="8" s="1"/>
  <c r="J1001" i="8"/>
  <c r="K1001" i="8" s="1"/>
  <c r="J1891" i="8"/>
  <c r="K1891" i="8" s="1"/>
  <c r="J2121" i="8"/>
  <c r="K2121" i="8" s="1"/>
  <c r="K2117" i="8" s="1"/>
  <c r="J1332" i="8"/>
  <c r="K1332" i="8" s="1"/>
  <c r="J1951" i="8"/>
  <c r="K1951" i="8" s="1"/>
  <c r="J3479" i="8"/>
  <c r="K3479" i="8" s="1"/>
  <c r="J1723" i="8"/>
  <c r="K1723" i="8" s="1"/>
  <c r="J2056" i="8"/>
  <c r="K2056" i="8" s="1"/>
  <c r="J1141" i="8"/>
  <c r="K1141" i="8" s="1"/>
  <c r="J1931" i="8"/>
  <c r="K1931" i="8" s="1"/>
  <c r="J2249" i="8"/>
  <c r="K2249" i="8" s="1"/>
  <c r="J1394" i="8"/>
  <c r="K1394" i="8" s="1"/>
  <c r="J752" i="8"/>
  <c r="K752" i="8" s="1"/>
  <c r="J1932" i="8"/>
  <c r="K1932" i="8" s="1"/>
  <c r="J1876" i="8"/>
  <c r="K1876" i="8" s="1"/>
  <c r="J1038" i="8"/>
  <c r="K1038" i="8" s="1"/>
  <c r="J1135" i="8"/>
  <c r="K1135" i="8" s="1"/>
  <c r="J1968" i="8"/>
  <c r="K1968" i="8" s="1"/>
  <c r="J3484" i="8"/>
  <c r="K3484" i="8" s="1"/>
  <c r="J1726" i="8"/>
  <c r="K1726" i="8" s="1"/>
  <c r="J2079" i="8"/>
  <c r="K2079" i="8" s="1"/>
  <c r="J1187" i="8"/>
  <c r="K1187" i="8" s="1"/>
  <c r="J1940" i="8"/>
  <c r="K1940" i="8" s="1"/>
  <c r="J2460" i="8"/>
  <c r="K2460" i="8" s="1"/>
  <c r="J1605" i="8"/>
  <c r="K1605" i="8" s="1"/>
  <c r="J2050" i="8"/>
  <c r="K2050" i="8" s="1"/>
  <c r="J1043" i="8"/>
  <c r="K1043" i="8" s="1"/>
  <c r="J1917" i="8"/>
  <c r="K1917" i="8" s="1"/>
  <c r="J2096" i="8"/>
  <c r="K2096" i="8" s="1"/>
  <c r="J1243" i="8"/>
  <c r="K1243" i="8" s="1"/>
  <c r="J2446" i="8"/>
  <c r="K2446" i="8" s="1"/>
  <c r="J1294" i="8"/>
  <c r="K1294" i="8" s="1"/>
  <c r="J1877" i="8"/>
  <c r="K1877" i="8" s="1"/>
  <c r="J1090" i="8"/>
  <c r="K1090" i="8" s="1"/>
  <c r="J1944" i="8"/>
  <c r="K1944" i="8" s="1"/>
  <c r="J2483" i="8"/>
  <c r="K2483" i="8" s="1"/>
  <c r="J1628" i="8"/>
  <c r="K1628" i="8" s="1"/>
  <c r="J2042" i="8"/>
  <c r="K2042" i="8" s="1"/>
  <c r="J1051" i="8"/>
  <c r="K1051" i="8" s="1"/>
  <c r="J1912" i="8"/>
  <c r="K1912" i="8" s="1"/>
  <c r="J2366" i="8"/>
  <c r="K2366" i="8" s="1"/>
  <c r="J1434" i="8"/>
  <c r="K1434" i="8" s="1"/>
  <c r="J2016" i="8"/>
  <c r="K2016" i="8" s="1"/>
  <c r="J1018" i="8"/>
  <c r="K1018" i="8" s="1"/>
  <c r="J1872" i="8"/>
  <c r="K1872" i="8" s="1"/>
  <c r="J2063" i="8"/>
  <c r="K2063" i="8" s="1"/>
  <c r="J1900" i="8"/>
  <c r="K1900" i="8" s="1"/>
  <c r="J1906" i="8"/>
  <c r="K1906" i="8" s="1"/>
  <c r="J2378" i="8"/>
  <c r="K2378" i="8" s="1"/>
  <c r="J1472" i="8"/>
  <c r="K1472" i="8" s="1"/>
  <c r="J2008" i="8"/>
  <c r="K2008" i="8" s="1"/>
  <c r="J1025" i="8"/>
  <c r="K1025" i="8" s="1"/>
  <c r="J1888" i="8"/>
  <c r="K1888" i="8" s="1"/>
  <c r="J2101" i="8"/>
  <c r="K2101" i="8" s="1"/>
  <c r="J1313" i="8"/>
  <c r="K1313" i="8" s="1"/>
  <c r="J1986" i="8"/>
  <c r="K1986" i="8" s="1"/>
  <c r="J863" i="8"/>
  <c r="K863" i="8" s="1"/>
  <c r="J1717" i="8"/>
  <c r="K1717" i="8" s="1"/>
  <c r="J2035" i="8"/>
  <c r="K2035" i="8" s="1"/>
  <c r="J1035" i="8"/>
  <c r="K1035" i="8" s="1"/>
  <c r="J1543" i="8"/>
  <c r="K1543" i="8" s="1"/>
  <c r="J1926" i="8"/>
  <c r="K1926" i="8" s="1"/>
  <c r="J1919" i="8"/>
  <c r="K1919" i="8" s="1"/>
  <c r="J1975" i="8"/>
  <c r="K1975" i="8" s="1"/>
  <c r="J1892" i="8"/>
  <c r="K1892" i="8" s="1"/>
  <c r="J2230" i="8"/>
  <c r="K2230" i="8" s="1"/>
  <c r="J1336" i="8"/>
  <c r="K1336" i="8" s="1"/>
  <c r="J2000" i="8"/>
  <c r="K2000" i="8" s="1"/>
  <c r="J996" i="8"/>
  <c r="K996" i="8" s="1"/>
  <c r="J1722" i="8"/>
  <c r="K1722" i="8" s="1"/>
  <c r="J2055" i="8"/>
  <c r="K2055" i="8" s="1"/>
  <c r="J1183" i="8"/>
  <c r="K1183" i="8" s="1"/>
  <c r="J1955" i="8"/>
  <c r="K1955" i="8" s="1"/>
  <c r="J2451" i="8"/>
  <c r="K2451" i="8" s="1"/>
  <c r="J1590" i="8"/>
  <c r="K1590" i="8" s="1"/>
  <c r="J2023" i="8"/>
  <c r="K2023" i="8" s="1"/>
  <c r="J1005" i="8"/>
  <c r="K1005" i="8" s="1"/>
  <c r="J723" i="8"/>
  <c r="K723" i="8" s="1"/>
  <c r="J1275" i="8"/>
  <c r="K1275" i="8" s="1"/>
  <c r="J1125" i="8"/>
  <c r="K1125" i="8" s="1"/>
  <c r="J711" i="8"/>
  <c r="K711" i="8" s="1"/>
  <c r="J1405" i="8"/>
  <c r="K1405" i="8" s="1"/>
  <c r="J2064" i="8"/>
  <c r="K2064" i="8" s="1"/>
  <c r="J1869" i="8"/>
  <c r="K1869" i="8" s="1"/>
  <c r="J2093" i="8"/>
  <c r="K2093" i="8" s="1"/>
  <c r="J1189" i="8"/>
  <c r="K1189" i="8" s="1"/>
  <c r="J1967" i="8"/>
  <c r="K1967" i="8" s="1"/>
  <c r="J2468" i="8"/>
  <c r="K2468" i="8" s="1"/>
  <c r="J1611" i="8"/>
  <c r="K1611" i="8" s="1"/>
  <c r="J2049" i="8"/>
  <c r="K2049" i="8" s="1"/>
  <c r="J1047" i="8"/>
  <c r="K1047" i="8" s="1"/>
  <c r="J1929" i="8"/>
  <c r="K1929" i="8" s="1"/>
  <c r="J2303" i="8"/>
  <c r="K2303" i="8" s="1"/>
  <c r="J1416" i="8"/>
  <c r="K1416" i="8" s="1"/>
  <c r="J2061" i="8"/>
  <c r="K2061" i="8" s="1"/>
  <c r="J977" i="8"/>
  <c r="K977" i="8" s="1"/>
  <c r="J1088" i="8"/>
  <c r="K1088" i="8" s="1"/>
  <c r="J1635" i="8"/>
  <c r="K1635" i="8" s="1"/>
  <c r="J2072" i="8"/>
  <c r="K2072" i="8" s="1"/>
  <c r="J1053" i="8"/>
  <c r="K1053" i="8" s="1"/>
  <c r="J1938" i="8"/>
  <c r="K1938" i="8" s="1"/>
  <c r="J2370" i="8"/>
  <c r="K2370" i="8" s="1"/>
  <c r="J1463" i="8"/>
  <c r="K1463" i="8" s="1"/>
  <c r="J2014" i="8"/>
  <c r="K2014" i="8" s="1"/>
  <c r="J1020" i="8"/>
  <c r="K1020" i="8" s="1"/>
  <c r="J1916" i="8"/>
  <c r="K1916" i="8" s="1"/>
  <c r="J2109" i="8"/>
  <c r="K2109" i="8" s="1"/>
  <c r="J1298" i="8"/>
  <c r="K1298" i="8" s="1"/>
  <c r="J1945" i="8"/>
  <c r="K1945" i="8" s="1"/>
  <c r="J2022" i="8"/>
  <c r="K2022" i="8" s="1"/>
  <c r="J1027" i="8"/>
  <c r="K1027" i="8" s="1"/>
  <c r="J2097" i="8"/>
  <c r="K2097" i="8" s="1"/>
  <c r="J2059" i="8"/>
  <c r="K2059" i="8" s="1"/>
  <c r="K65" i="8"/>
  <c r="J76" i="8"/>
  <c r="K76" i="8" s="1"/>
  <c r="J101" i="8"/>
  <c r="K101" i="8" s="1"/>
  <c r="J273" i="8"/>
  <c r="K273" i="8" s="1"/>
  <c r="J433" i="8"/>
  <c r="K433" i="8" s="1"/>
  <c r="J598" i="8"/>
  <c r="K598" i="8" s="1"/>
  <c r="J761" i="8"/>
  <c r="K761" i="8" s="1"/>
  <c r="J25" i="8"/>
  <c r="K25" i="8" s="1"/>
  <c r="J202" i="8"/>
  <c r="K202" i="8" s="1"/>
  <c r="J366" i="8"/>
  <c r="K366" i="8" s="1"/>
  <c r="J531" i="8"/>
  <c r="K531" i="8" s="1"/>
  <c r="J691" i="8"/>
  <c r="K691" i="8" s="1"/>
  <c r="J850" i="8"/>
  <c r="K850" i="8" s="1"/>
  <c r="J144" i="8"/>
  <c r="K144" i="8" s="1"/>
  <c r="J316" i="8"/>
  <c r="K316" i="8" s="1"/>
  <c r="J478" i="8"/>
  <c r="K478" i="8" s="1"/>
  <c r="J641" i="8"/>
  <c r="K641" i="8" s="1"/>
  <c r="J800" i="8"/>
  <c r="K800" i="8" s="1"/>
  <c r="J91" i="8"/>
  <c r="K91" i="8" s="1"/>
  <c r="J262" i="8"/>
  <c r="K262" i="8" s="1"/>
  <c r="J421" i="8"/>
  <c r="K421" i="8" s="1"/>
  <c r="J587" i="8"/>
  <c r="K587" i="8" s="1"/>
  <c r="J749" i="8"/>
  <c r="K749" i="8" s="1"/>
  <c r="J31" i="8"/>
  <c r="K31" i="8" s="1"/>
  <c r="J205" i="8"/>
  <c r="K205" i="8" s="1"/>
  <c r="J369" i="8"/>
  <c r="K369" i="8" s="1"/>
  <c r="J534" i="8"/>
  <c r="K534" i="8" s="1"/>
  <c r="J694" i="8"/>
  <c r="K694" i="8" s="1"/>
  <c r="J854" i="8"/>
  <c r="K854" i="8" s="1"/>
  <c r="J134" i="8"/>
  <c r="K134" i="8" s="1"/>
  <c r="J307" i="8"/>
  <c r="K307" i="8" s="1"/>
  <c r="J469" i="8"/>
  <c r="K469" i="8" s="1"/>
  <c r="J631" i="8"/>
  <c r="K631" i="8" s="1"/>
  <c r="J790" i="8"/>
  <c r="K790" i="8" s="1"/>
  <c r="J82" i="8"/>
  <c r="K82" i="8" s="1"/>
  <c r="J267" i="8"/>
  <c r="K267" i="8" s="1"/>
  <c r="J424" i="8"/>
  <c r="K424" i="8" s="1"/>
  <c r="J591" i="8"/>
  <c r="K591" i="8" s="1"/>
  <c r="J755" i="8"/>
  <c r="K755" i="8" s="1"/>
  <c r="J34" i="8"/>
  <c r="K34" i="8" s="1"/>
  <c r="J207" i="8"/>
  <c r="K207" i="8" s="1"/>
  <c r="J374" i="8"/>
  <c r="K374" i="8" s="1"/>
  <c r="J537" i="8"/>
  <c r="K537" i="8" s="1"/>
  <c r="J698" i="8"/>
  <c r="K698" i="8" s="1"/>
  <c r="J857" i="8"/>
  <c r="K857" i="8" s="1"/>
  <c r="J152" i="8"/>
  <c r="K152" i="8" s="1"/>
  <c r="J323" i="8"/>
  <c r="K323" i="8" s="1"/>
  <c r="J484" i="8"/>
  <c r="K484" i="8" s="1"/>
  <c r="J647" i="8"/>
  <c r="K647" i="8" s="1"/>
  <c r="J806" i="8"/>
  <c r="K806" i="8" s="1"/>
  <c r="J87" i="8"/>
  <c r="K87" i="8" s="1"/>
  <c r="J257" i="8"/>
  <c r="K257" i="8" s="1"/>
  <c r="J417" i="8"/>
  <c r="K417" i="8" s="1"/>
  <c r="J583" i="8"/>
  <c r="K583" i="8" s="1"/>
  <c r="J745" i="8"/>
  <c r="K745" i="8" s="1"/>
  <c r="J86" i="8"/>
  <c r="K86" i="8" s="1"/>
  <c r="J917" i="8"/>
  <c r="K917" i="8" s="1"/>
  <c r="J1111" i="8"/>
  <c r="K1111" i="8" s="1"/>
  <c r="J1274" i="8"/>
  <c r="K1274" i="8" s="1"/>
  <c r="J1446" i="8"/>
  <c r="K1446" i="8" s="1"/>
  <c r="J1618" i="8"/>
  <c r="K1618" i="8" s="1"/>
  <c r="J1789" i="8"/>
  <c r="K1789" i="8" s="1"/>
  <c r="J349" i="8"/>
  <c r="K349" i="8" s="1"/>
  <c r="J955" i="8"/>
  <c r="K955" i="8" s="1"/>
  <c r="J1154" i="8"/>
  <c r="K1154" i="8" s="1"/>
  <c r="J1319" i="8"/>
  <c r="K1319" i="8" s="1"/>
  <c r="J1488" i="8"/>
  <c r="K1488" i="8" s="1"/>
  <c r="J1661" i="8"/>
  <c r="K1661" i="8" s="1"/>
  <c r="J1829" i="8"/>
  <c r="K1829" i="8" s="1"/>
  <c r="J595" i="8"/>
  <c r="K595" i="8" s="1"/>
  <c r="J42" i="8"/>
  <c r="K42" i="8" s="1"/>
  <c r="J114" i="8"/>
  <c r="K114" i="8" s="1"/>
  <c r="J289" i="8"/>
  <c r="K289" i="8" s="1"/>
  <c r="J449" i="8"/>
  <c r="K449" i="8" s="1"/>
  <c r="J611" i="8"/>
  <c r="K611" i="8" s="1"/>
  <c r="J773" i="8"/>
  <c r="K773" i="8" s="1"/>
  <c r="J43" i="8"/>
  <c r="K43" i="8" s="1"/>
  <c r="J215" i="8"/>
  <c r="K215" i="8" s="1"/>
  <c r="J380" i="8"/>
  <c r="K380" i="8" s="1"/>
  <c r="J543" i="8"/>
  <c r="K543" i="8" s="1"/>
  <c r="J708" i="8"/>
  <c r="K708" i="8" s="1"/>
  <c r="J865" i="8"/>
  <c r="K865" i="8" s="1"/>
  <c r="J160" i="8"/>
  <c r="K160" i="8" s="1"/>
  <c r="J329" i="8"/>
  <c r="K329" i="8" s="1"/>
  <c r="J490" i="8"/>
  <c r="K490" i="8" s="1"/>
  <c r="J654" i="8"/>
  <c r="K654" i="8" s="1"/>
  <c r="J813" i="8"/>
  <c r="K813" i="8" s="1"/>
  <c r="J104" i="8"/>
  <c r="K104" i="8" s="1"/>
  <c r="J277" i="8"/>
  <c r="K277" i="8" s="1"/>
  <c r="J437" i="8"/>
  <c r="K437" i="8" s="1"/>
  <c r="J601" i="8"/>
  <c r="K601" i="8" s="1"/>
  <c r="J764" i="8"/>
  <c r="K764" i="8" s="1"/>
  <c r="J46" i="8"/>
  <c r="K46" i="8" s="1"/>
  <c r="J219" i="8"/>
  <c r="K219" i="8" s="1"/>
  <c r="J383" i="8"/>
  <c r="K383" i="8" s="1"/>
  <c r="J546" i="8"/>
  <c r="K546" i="8" s="1"/>
  <c r="J713" i="8"/>
  <c r="K713" i="8" s="1"/>
  <c r="J869" i="8"/>
  <c r="K869" i="8" s="1"/>
  <c r="J148" i="8"/>
  <c r="K148" i="8" s="1"/>
  <c r="J319" i="8"/>
  <c r="K319" i="8" s="1"/>
  <c r="J481" i="8"/>
  <c r="K481" i="8" s="1"/>
  <c r="J644" i="8"/>
  <c r="K644" i="8" s="1"/>
  <c r="J803" i="8"/>
  <c r="K803" i="8" s="1"/>
  <c r="J94" i="8"/>
  <c r="K94" i="8" s="1"/>
  <c r="J283" i="8"/>
  <c r="K283" i="8" s="1"/>
  <c r="J442" i="8"/>
  <c r="K442" i="8" s="1"/>
  <c r="J605" i="8"/>
  <c r="K605" i="8" s="1"/>
  <c r="J767" i="8"/>
  <c r="K767" i="8" s="1"/>
  <c r="J51" i="8"/>
  <c r="K51" i="8" s="1"/>
  <c r="J223" i="8"/>
  <c r="K223" i="8" s="1"/>
  <c r="J386" i="8"/>
  <c r="K386" i="8" s="1"/>
  <c r="J549" i="8"/>
  <c r="K549" i="8" s="1"/>
  <c r="J716" i="8"/>
  <c r="K716" i="8" s="1"/>
  <c r="J872" i="8"/>
  <c r="K872" i="8" s="1"/>
  <c r="J166" i="8"/>
  <c r="K166" i="8" s="1"/>
  <c r="J336" i="8"/>
  <c r="K336" i="8" s="1"/>
  <c r="J498" i="8"/>
  <c r="K498" i="8" s="1"/>
  <c r="J660" i="8"/>
  <c r="K660" i="8" s="1"/>
  <c r="J819" i="8"/>
  <c r="K819" i="8" s="1"/>
  <c r="J100" i="8"/>
  <c r="K100" i="8" s="1"/>
  <c r="J272" i="8"/>
  <c r="K272" i="8" s="1"/>
  <c r="J432" i="8"/>
  <c r="K432" i="8" s="1"/>
  <c r="J596" i="8"/>
  <c r="K596" i="8" s="1"/>
  <c r="J760" i="8"/>
  <c r="K760" i="8" s="1"/>
  <c r="J169" i="8"/>
  <c r="K169" i="8" s="1"/>
  <c r="J929" i="8"/>
  <c r="K929" i="8" s="1"/>
  <c r="J1123" i="8"/>
  <c r="K1123" i="8" s="1"/>
  <c r="J1287" i="8"/>
  <c r="K1287" i="8" s="1"/>
  <c r="J1458" i="8"/>
  <c r="K1458" i="8" s="1"/>
  <c r="J1632" i="8"/>
  <c r="K1632" i="8" s="1"/>
  <c r="J1803" i="8"/>
  <c r="K1803" i="8" s="1"/>
  <c r="J430" i="8"/>
  <c r="K430" i="8" s="1"/>
  <c r="J967" i="8"/>
  <c r="K967" i="8" s="1"/>
  <c r="J1166" i="8"/>
  <c r="K1166" i="8" s="1"/>
  <c r="J1334" i="8"/>
  <c r="K1334" i="8" s="1"/>
  <c r="J1504" i="8"/>
  <c r="K1504" i="8" s="1"/>
  <c r="J1673" i="8"/>
  <c r="K1673" i="8" s="1"/>
  <c r="J1842" i="8"/>
  <c r="K1842" i="8" s="1"/>
  <c r="J675" i="8"/>
  <c r="K675" i="8" s="1"/>
  <c r="J56" i="8"/>
  <c r="J128" i="8"/>
  <c r="K128" i="8" s="1"/>
  <c r="J302" i="8"/>
  <c r="K302" i="8" s="1"/>
  <c r="J464" i="8"/>
  <c r="K464" i="8" s="1"/>
  <c r="J626" i="8"/>
  <c r="K626" i="8" s="1"/>
  <c r="J785" i="8"/>
  <c r="K785" i="8" s="1"/>
  <c r="J59" i="8"/>
  <c r="K59" i="8" s="1"/>
  <c r="J230" i="8"/>
  <c r="K230" i="8" s="1"/>
  <c r="J393" i="8"/>
  <c r="K393" i="8" s="1"/>
  <c r="J559" i="8"/>
  <c r="K559" i="8" s="1"/>
  <c r="J722" i="8"/>
  <c r="K722" i="8" s="1"/>
  <c r="J878" i="8"/>
  <c r="K878" i="8" s="1"/>
  <c r="J174" i="8"/>
  <c r="K174" i="8" s="1"/>
  <c r="J342" i="8"/>
  <c r="K342" i="8" s="1"/>
  <c r="J505" i="8"/>
  <c r="K505" i="8" s="1"/>
  <c r="J666" i="8"/>
  <c r="K666" i="8" s="1"/>
  <c r="J826" i="8"/>
  <c r="K826" i="8" s="1"/>
  <c r="J117" i="8"/>
  <c r="K117" i="8" s="1"/>
  <c r="J292" i="8"/>
  <c r="K292" i="8" s="1"/>
  <c r="J452" i="8"/>
  <c r="K452" i="8" s="1"/>
  <c r="J617" i="8"/>
  <c r="K617" i="8" s="1"/>
  <c r="J776" i="8"/>
  <c r="K776" i="8" s="1"/>
  <c r="K64" i="8"/>
  <c r="J233" i="8"/>
  <c r="K233" i="8" s="1"/>
  <c r="J396" i="8"/>
  <c r="K396" i="8" s="1"/>
  <c r="J562" i="8"/>
  <c r="K562" i="8" s="1"/>
  <c r="J726" i="8"/>
  <c r="K726" i="8" s="1"/>
  <c r="J881" i="8"/>
  <c r="K881" i="8" s="1"/>
  <c r="J163" i="8"/>
  <c r="K163" i="8" s="1"/>
  <c r="J332" i="8"/>
  <c r="K332" i="8" s="1"/>
  <c r="J495" i="8"/>
  <c r="K495" i="8" s="1"/>
  <c r="J657" i="8"/>
  <c r="K657" i="8" s="1"/>
  <c r="J816" i="8"/>
  <c r="K816" i="8" s="1"/>
  <c r="J108" i="8"/>
  <c r="K108" i="8" s="1"/>
  <c r="J295" i="8"/>
  <c r="K295" i="8" s="1"/>
  <c r="J456" i="8"/>
  <c r="K456" i="8" s="1"/>
  <c r="J620" i="8"/>
  <c r="K620" i="8" s="1"/>
  <c r="J779" i="8"/>
  <c r="K779" i="8" s="1"/>
  <c r="J68" i="8"/>
  <c r="K68" i="8" s="1"/>
  <c r="J238" i="8"/>
  <c r="K238" i="8" s="1"/>
  <c r="J399" i="8"/>
  <c r="K399" i="8" s="1"/>
  <c r="J565" i="8"/>
  <c r="K565" i="8" s="1"/>
  <c r="J729" i="8"/>
  <c r="K729" i="8" s="1"/>
  <c r="J884" i="8"/>
  <c r="K884" i="8" s="1"/>
  <c r="J182" i="8"/>
  <c r="K182" i="8" s="1"/>
  <c r="J348" i="8"/>
  <c r="K348" i="8" s="1"/>
  <c r="J512" i="8"/>
  <c r="K512" i="8" s="1"/>
  <c r="J673" i="8"/>
  <c r="K673" i="8" s="1"/>
  <c r="J832" i="8"/>
  <c r="K832" i="8" s="1"/>
  <c r="J113" i="8"/>
  <c r="K113" i="8" s="1"/>
  <c r="J288" i="8"/>
  <c r="K288" i="8" s="1"/>
  <c r="J447" i="8"/>
  <c r="K447" i="8" s="1"/>
  <c r="J610" i="8"/>
  <c r="K610" i="8" s="1"/>
  <c r="J772" i="8"/>
  <c r="K772" i="8" s="1"/>
  <c r="J256" i="8"/>
  <c r="K256" i="8" s="1"/>
  <c r="J941" i="8"/>
  <c r="K941" i="8" s="1"/>
  <c r="J1140" i="8"/>
  <c r="K1140" i="8" s="1"/>
  <c r="J1302" i="8"/>
  <c r="K1302" i="8" s="1"/>
  <c r="J1475" i="8"/>
  <c r="K1475" i="8" s="1"/>
  <c r="J1648" i="8"/>
  <c r="K1648" i="8" s="1"/>
  <c r="J1815" i="8"/>
  <c r="K1815" i="8" s="1"/>
  <c r="J513" i="8"/>
  <c r="K513" i="8" s="1"/>
  <c r="J981" i="8"/>
  <c r="K981" i="8" s="1"/>
  <c r="J1179" i="8"/>
  <c r="K1179" i="8" s="1"/>
  <c r="J1347" i="8"/>
  <c r="K1347" i="8" s="1"/>
  <c r="J1516" i="8"/>
  <c r="K1516" i="8" s="1"/>
  <c r="J1685" i="8"/>
  <c r="K1685" i="8" s="1"/>
  <c r="J1855" i="8"/>
  <c r="K1855" i="8" s="1"/>
  <c r="J759" i="8"/>
  <c r="K759" i="8" s="1"/>
  <c r="J24" i="8"/>
  <c r="K24" i="8" s="1"/>
  <c r="J142" i="8"/>
  <c r="K142" i="8" s="1"/>
  <c r="J314" i="8"/>
  <c r="K314" i="8" s="1"/>
  <c r="J476" i="8"/>
  <c r="K476" i="8" s="1"/>
  <c r="J639" i="8"/>
  <c r="K639" i="8" s="1"/>
  <c r="J798" i="8"/>
  <c r="K798" i="8" s="1"/>
  <c r="J75" i="8"/>
  <c r="K75" i="8" s="1"/>
  <c r="J246" i="8"/>
  <c r="K246" i="8" s="1"/>
  <c r="J406" i="8"/>
  <c r="K406" i="8" s="1"/>
  <c r="J572" i="8"/>
  <c r="K572" i="8" s="1"/>
  <c r="J735" i="8"/>
  <c r="K735" i="8" s="1"/>
  <c r="J189" i="8"/>
  <c r="K189" i="8" s="1"/>
  <c r="J354" i="8"/>
  <c r="K354" i="8" s="1"/>
  <c r="J519" i="8"/>
  <c r="K519" i="8" s="1"/>
  <c r="J679" i="8"/>
  <c r="K679" i="8" s="1"/>
  <c r="J838" i="8"/>
  <c r="K838" i="8" s="1"/>
  <c r="J132" i="8"/>
  <c r="K132" i="8" s="1"/>
  <c r="J305" i="8"/>
  <c r="K305" i="8" s="1"/>
  <c r="J467" i="8"/>
  <c r="K467" i="8" s="1"/>
  <c r="J629" i="8"/>
  <c r="K629" i="8" s="1"/>
  <c r="J788" i="8"/>
  <c r="K788" i="8" s="1"/>
  <c r="J80" i="8"/>
  <c r="K80" i="8" s="1"/>
  <c r="J249" i="8"/>
  <c r="K249" i="8" s="1"/>
  <c r="J409" i="8"/>
  <c r="K409" i="8" s="1"/>
  <c r="J576" i="8"/>
  <c r="K576" i="8" s="1"/>
  <c r="J738" i="8"/>
  <c r="K738" i="8" s="1"/>
  <c r="J893" i="8"/>
  <c r="K893" i="8" s="1"/>
  <c r="J177" i="8"/>
  <c r="K177" i="8" s="1"/>
  <c r="J345" i="8"/>
  <c r="K345" i="8" s="1"/>
  <c r="J508" i="8"/>
  <c r="K508" i="8" s="1"/>
  <c r="J669" i="8"/>
  <c r="K669" i="8" s="1"/>
  <c r="J829" i="8"/>
  <c r="K829" i="8" s="1"/>
  <c r="J120" i="8"/>
  <c r="K120" i="8" s="1"/>
  <c r="J308" i="8"/>
  <c r="K308" i="8" s="1"/>
  <c r="J470" i="8"/>
  <c r="K470" i="8" s="1"/>
  <c r="J633" i="8"/>
  <c r="K633" i="8" s="1"/>
  <c r="J791" i="8"/>
  <c r="K791" i="8" s="1"/>
  <c r="J83" i="8"/>
  <c r="K83" i="8" s="1"/>
  <c r="J253" i="8"/>
  <c r="K253" i="8" s="1"/>
  <c r="J412" i="8"/>
  <c r="K412" i="8" s="1"/>
  <c r="J579" i="8"/>
  <c r="K579" i="8" s="1"/>
  <c r="J741" i="8"/>
  <c r="K741" i="8" s="1"/>
  <c r="J195" i="8"/>
  <c r="K195" i="8" s="1"/>
  <c r="J361" i="8"/>
  <c r="K361" i="8" s="1"/>
  <c r="J525" i="8"/>
  <c r="K525" i="8" s="1"/>
  <c r="J686" i="8"/>
  <c r="K686" i="8" s="1"/>
  <c r="J845" i="8"/>
  <c r="K845" i="8" s="1"/>
  <c r="J127" i="8"/>
  <c r="K127" i="8" s="1"/>
  <c r="J301" i="8"/>
  <c r="K301" i="8" s="1"/>
  <c r="J463" i="8"/>
  <c r="K463" i="8" s="1"/>
  <c r="J625" i="8"/>
  <c r="K625" i="8" s="1"/>
  <c r="J784" i="8"/>
  <c r="K784" i="8" s="1"/>
  <c r="J338" i="8"/>
  <c r="K338" i="8" s="1"/>
  <c r="J954" i="8"/>
  <c r="K954" i="8" s="1"/>
  <c r="J1153" i="8"/>
  <c r="K1153" i="8" s="1"/>
  <c r="J1318" i="8"/>
  <c r="K1318" i="8" s="1"/>
  <c r="J1487" i="8"/>
  <c r="K1487" i="8" s="1"/>
  <c r="J1660" i="8"/>
  <c r="K1660" i="8" s="1"/>
  <c r="J1828" i="8"/>
  <c r="K1828" i="8" s="1"/>
  <c r="J594" i="8"/>
  <c r="K594" i="8" s="1"/>
  <c r="J1000" i="8"/>
  <c r="K1000" i="8" s="1"/>
  <c r="J1195" i="8"/>
  <c r="K1195" i="8" s="1"/>
  <c r="J1359" i="8"/>
  <c r="K1359" i="8" s="1"/>
  <c r="J1528" i="8"/>
  <c r="K1528" i="8" s="1"/>
  <c r="J1697" i="8"/>
  <c r="K1697" i="8" s="1"/>
  <c r="J1890" i="8"/>
  <c r="K1890" i="8" s="1"/>
  <c r="J834" i="8"/>
  <c r="K834" i="8" s="1"/>
  <c r="J37" i="8"/>
  <c r="K37" i="8" s="1"/>
  <c r="J156" i="8"/>
  <c r="K156" i="8" s="1"/>
  <c r="J327" i="8"/>
  <c r="K327" i="8" s="1"/>
  <c r="J488" i="8"/>
  <c r="K488" i="8" s="1"/>
  <c r="J652" i="8"/>
  <c r="K652" i="8" s="1"/>
  <c r="J810" i="8"/>
  <c r="K810" i="8" s="1"/>
  <c r="J89" i="8"/>
  <c r="K89" i="8" s="1"/>
  <c r="J260" i="8"/>
  <c r="K260" i="8" s="1"/>
  <c r="J419" i="8"/>
  <c r="K419" i="8" s="1"/>
  <c r="J585" i="8"/>
  <c r="K585" i="8" s="1"/>
  <c r="J747" i="8"/>
  <c r="K747" i="8" s="1"/>
  <c r="J27" i="8"/>
  <c r="K27" i="8" s="1"/>
  <c r="J203" i="8"/>
  <c r="K203" i="8" s="1"/>
  <c r="J367" i="8"/>
  <c r="K367" i="8" s="1"/>
  <c r="J532" i="8"/>
  <c r="K532" i="8" s="1"/>
  <c r="J692" i="8"/>
  <c r="K692" i="8" s="1"/>
  <c r="J852" i="8"/>
  <c r="K852" i="8" s="1"/>
  <c r="J145" i="8"/>
  <c r="K145" i="8" s="1"/>
  <c r="J317" i="8"/>
  <c r="K317" i="8" s="1"/>
  <c r="J479" i="8"/>
  <c r="K479" i="8" s="1"/>
  <c r="J642" i="8"/>
  <c r="K642" i="8" s="1"/>
  <c r="J801" i="8"/>
  <c r="K801" i="8" s="1"/>
  <c r="J92" i="8"/>
  <c r="K92" i="8" s="1"/>
  <c r="J263" i="8"/>
  <c r="K263" i="8" s="1"/>
  <c r="J422" i="8"/>
  <c r="K422" i="8" s="1"/>
  <c r="J588" i="8"/>
  <c r="K588" i="8" s="1"/>
  <c r="J750" i="8"/>
  <c r="K750" i="8" s="1"/>
  <c r="J192" i="8"/>
  <c r="K192" i="8" s="1"/>
  <c r="J358" i="8"/>
  <c r="K358" i="8" s="1"/>
  <c r="J522" i="8"/>
  <c r="K522" i="8" s="1"/>
  <c r="J682" i="8"/>
  <c r="K682" i="8" s="1"/>
  <c r="J841" i="8"/>
  <c r="K841" i="8" s="1"/>
  <c r="J135" i="8"/>
  <c r="K135" i="8" s="1"/>
  <c r="J320" i="8"/>
  <c r="K320" i="8" s="1"/>
  <c r="J482" i="8"/>
  <c r="K482" i="8" s="1"/>
  <c r="J645" i="8"/>
  <c r="K645" i="8" s="1"/>
  <c r="J804" i="8"/>
  <c r="K804" i="8" s="1"/>
  <c r="J95" i="8"/>
  <c r="K95" i="8" s="1"/>
  <c r="J268" i="8"/>
  <c r="K268" i="8" s="1"/>
  <c r="J428" i="8"/>
  <c r="K428" i="8" s="1"/>
  <c r="J592" i="8"/>
  <c r="K592" i="8" s="1"/>
  <c r="J756" i="8"/>
  <c r="K756" i="8" s="1"/>
  <c r="J35" i="8"/>
  <c r="K35" i="8" s="1"/>
  <c r="J210" i="8"/>
  <c r="K210" i="8" s="1"/>
  <c r="J375" i="8"/>
  <c r="K375" i="8" s="1"/>
  <c r="J538" i="8"/>
  <c r="K538" i="8" s="1"/>
  <c r="J699" i="8"/>
  <c r="K699" i="8" s="1"/>
  <c r="J858" i="8"/>
  <c r="K858" i="8" s="1"/>
  <c r="J141" i="8"/>
  <c r="K141" i="8" s="1"/>
  <c r="J2083" i="8"/>
  <c r="K2083" i="8" s="1"/>
  <c r="J171" i="8"/>
  <c r="K171" i="8" s="1"/>
  <c r="J340" i="8"/>
  <c r="K340" i="8" s="1"/>
  <c r="J503" i="8"/>
  <c r="K503" i="8" s="1"/>
  <c r="J664" i="8"/>
  <c r="K664" i="8" s="1"/>
  <c r="J823" i="8"/>
  <c r="K823" i="8" s="1"/>
  <c r="J102" i="8"/>
  <c r="K102" i="8" s="1"/>
  <c r="J274" i="8"/>
  <c r="K274" i="8" s="1"/>
  <c r="J434" i="8"/>
  <c r="K434" i="8" s="1"/>
  <c r="J599" i="8"/>
  <c r="K599" i="8" s="1"/>
  <c r="J762" i="8"/>
  <c r="K762" i="8" s="1"/>
  <c r="J44" i="8"/>
  <c r="K44" i="8" s="1"/>
  <c r="J216" i="8"/>
  <c r="K216" i="8" s="1"/>
  <c r="J381" i="8"/>
  <c r="K381" i="8" s="1"/>
  <c r="J544" i="8"/>
  <c r="K544" i="8" s="1"/>
  <c r="J710" i="8"/>
  <c r="K710" i="8" s="1"/>
  <c r="J866" i="8"/>
  <c r="K866" i="8" s="1"/>
  <c r="J161" i="8"/>
  <c r="K161" i="8" s="1"/>
  <c r="J330" i="8"/>
  <c r="K330" i="8" s="1"/>
  <c r="J492" i="8"/>
  <c r="K492" i="8" s="1"/>
  <c r="J655" i="8"/>
  <c r="K655" i="8" s="1"/>
  <c r="J814" i="8"/>
  <c r="K814" i="8" s="1"/>
  <c r="J105" i="8"/>
  <c r="K105" i="8" s="1"/>
  <c r="J278" i="8"/>
  <c r="K278" i="8" s="1"/>
  <c r="J440" i="8"/>
  <c r="K440" i="8" s="1"/>
  <c r="J602" i="8"/>
  <c r="K602" i="8" s="1"/>
  <c r="J765" i="8"/>
  <c r="K765" i="8" s="1"/>
  <c r="J32" i="8"/>
  <c r="K32" i="8" s="1"/>
  <c r="J206" i="8"/>
  <c r="K206" i="8" s="1"/>
  <c r="J372" i="8"/>
  <c r="K372" i="8" s="1"/>
  <c r="J535" i="8"/>
  <c r="K535" i="8" s="1"/>
  <c r="J695" i="8"/>
  <c r="K695" i="8" s="1"/>
  <c r="J855" i="8"/>
  <c r="K855" i="8" s="1"/>
  <c r="J149" i="8"/>
  <c r="K149" i="8" s="1"/>
  <c r="J333" i="8"/>
  <c r="K333" i="8" s="1"/>
  <c r="J496" i="8"/>
  <c r="K496" i="8" s="1"/>
  <c r="J658" i="8"/>
  <c r="K658" i="8" s="1"/>
  <c r="J817" i="8"/>
  <c r="K817" i="8" s="1"/>
  <c r="J109" i="8"/>
  <c r="K109" i="8" s="1"/>
  <c r="J284" i="8"/>
  <c r="K284" i="8" s="1"/>
  <c r="J443" i="8"/>
  <c r="K443" i="8" s="1"/>
  <c r="J606" i="8"/>
  <c r="K606" i="8" s="1"/>
  <c r="J768" i="8"/>
  <c r="K768" i="8" s="1"/>
  <c r="J52" i="8"/>
  <c r="K52" i="8" s="1"/>
  <c r="J224" i="8"/>
  <c r="K224" i="8" s="1"/>
  <c r="J388" i="8"/>
  <c r="K388" i="8" s="1"/>
  <c r="J550" i="8"/>
  <c r="K550" i="8" s="1"/>
  <c r="J717" i="8"/>
  <c r="K717" i="8" s="1"/>
  <c r="J873" i="8"/>
  <c r="K873" i="8" s="1"/>
  <c r="J155" i="8"/>
  <c r="K155" i="8" s="1"/>
  <c r="J326" i="8"/>
  <c r="K326" i="8" s="1"/>
  <c r="J487" i="8"/>
  <c r="K487" i="8" s="1"/>
  <c r="J651" i="8"/>
  <c r="K651" i="8" s="1"/>
  <c r="J809" i="8"/>
  <c r="K809" i="8" s="1"/>
  <c r="J501" i="8"/>
  <c r="K501" i="8" s="1"/>
  <c r="J980" i="8"/>
  <c r="K980" i="8" s="1"/>
  <c r="J1177" i="8"/>
  <c r="K1177" i="8" s="1"/>
  <c r="J1346" i="8"/>
  <c r="K1346" i="8" s="1"/>
  <c r="J1515" i="8"/>
  <c r="K1515" i="8" s="1"/>
  <c r="J1684" i="8"/>
  <c r="K1684" i="8" s="1"/>
  <c r="J1854" i="8"/>
  <c r="K1854" i="8" s="1"/>
  <c r="J758" i="8"/>
  <c r="K758" i="8" s="1"/>
  <c r="J1055" i="8"/>
  <c r="K1055" i="8" s="1"/>
  <c r="J1219" i="8"/>
  <c r="K1219" i="8" s="1"/>
  <c r="J1388" i="8"/>
  <c r="K1388" i="8" s="1"/>
  <c r="J1558" i="8"/>
  <c r="K1558" i="8" s="1"/>
  <c r="J1740" i="8"/>
  <c r="K1740" i="8" s="1"/>
  <c r="J2036" i="8"/>
  <c r="K2036" i="8" s="1"/>
  <c r="J906" i="8"/>
  <c r="K906" i="8" s="1"/>
  <c r="J3182" i="8"/>
  <c r="K3182" i="8" s="1"/>
  <c r="J186" i="8"/>
  <c r="K186" i="8" s="1"/>
  <c r="J352" i="8"/>
  <c r="K352" i="8" s="1"/>
  <c r="J517" i="8"/>
  <c r="K517" i="8" s="1"/>
  <c r="J677" i="8"/>
  <c r="K677" i="8" s="1"/>
  <c r="J836" i="8"/>
  <c r="K836" i="8" s="1"/>
  <c r="J115" i="8"/>
  <c r="K115" i="8" s="1"/>
  <c r="J290" i="8"/>
  <c r="K290" i="8" s="1"/>
  <c r="J450" i="8"/>
  <c r="K450" i="8" s="1"/>
  <c r="J612" i="8"/>
  <c r="K612" i="8" s="1"/>
  <c r="J774" i="8"/>
  <c r="K774" i="8" s="1"/>
  <c r="J231" i="8"/>
  <c r="K231" i="8" s="1"/>
  <c r="J394" i="8"/>
  <c r="K394" i="8" s="1"/>
  <c r="J560" i="8"/>
  <c r="K560" i="8" s="1"/>
  <c r="J724" i="8"/>
  <c r="K724" i="8" s="1"/>
  <c r="J879" i="8"/>
  <c r="K879" i="8" s="1"/>
  <c r="J175" i="8"/>
  <c r="K175" i="8" s="1"/>
  <c r="J343" i="8"/>
  <c r="K343" i="8" s="1"/>
  <c r="J506" i="8"/>
  <c r="K506" i="8" s="1"/>
  <c r="J667" i="8"/>
  <c r="K667" i="8" s="1"/>
  <c r="J827" i="8"/>
  <c r="K827" i="8" s="1"/>
  <c r="J118" i="8"/>
  <c r="K118" i="8" s="1"/>
  <c r="J293" i="8"/>
  <c r="K293" i="8" s="1"/>
  <c r="J454" i="8"/>
  <c r="K454" i="8" s="1"/>
  <c r="J618" i="8"/>
  <c r="K618" i="8" s="1"/>
  <c r="J777" i="8"/>
  <c r="K777" i="8" s="1"/>
  <c r="J48" i="8"/>
  <c r="K48" i="8" s="1"/>
  <c r="J220" i="8"/>
  <c r="K220" i="8" s="1"/>
  <c r="J384" i="8"/>
  <c r="K384" i="8" s="1"/>
  <c r="J547" i="8"/>
  <c r="K547" i="8" s="1"/>
  <c r="J714" i="8"/>
  <c r="K714" i="8" s="1"/>
  <c r="J870" i="8"/>
  <c r="K870" i="8" s="1"/>
  <c r="J164" i="8"/>
  <c r="K164" i="8" s="1"/>
  <c r="J346" i="8"/>
  <c r="K346" i="8" s="1"/>
  <c r="J509" i="8"/>
  <c r="K509" i="8" s="1"/>
  <c r="J671" i="8"/>
  <c r="K671" i="8" s="1"/>
  <c r="J830" i="8"/>
  <c r="K830" i="8" s="1"/>
  <c r="J121" i="8"/>
  <c r="K121" i="8" s="1"/>
  <c r="J296" i="8"/>
  <c r="K296" i="8" s="1"/>
  <c r="J457" i="8"/>
  <c r="K457" i="8" s="1"/>
  <c r="J621" i="8"/>
  <c r="K621" i="8" s="1"/>
  <c r="J780" i="8"/>
  <c r="K780" i="8" s="1"/>
  <c r="J70" i="8"/>
  <c r="K70" i="8" s="1"/>
  <c r="J239" i="8"/>
  <c r="K239" i="8" s="1"/>
  <c r="J400" i="8"/>
  <c r="K400" i="8" s="1"/>
  <c r="J566" i="8"/>
  <c r="K566" i="8" s="1"/>
  <c r="J730" i="8"/>
  <c r="K730" i="8" s="1"/>
  <c r="J885" i="8"/>
  <c r="K885" i="8" s="1"/>
  <c r="J170" i="8"/>
  <c r="K170" i="8" s="1"/>
  <c r="J339" i="8"/>
  <c r="K339" i="8" s="1"/>
  <c r="J502" i="8"/>
  <c r="K502" i="8" s="1"/>
  <c r="J663" i="8"/>
  <c r="K663" i="8" s="1"/>
  <c r="J822" i="8"/>
  <c r="K822" i="8" s="1"/>
  <c r="J582" i="8"/>
  <c r="K582" i="8" s="1"/>
  <c r="J997" i="8"/>
  <c r="K997" i="8" s="1"/>
  <c r="J1194" i="8"/>
  <c r="K1194" i="8" s="1"/>
  <c r="J1358" i="8"/>
  <c r="K1358" i="8" s="1"/>
  <c r="J1527" i="8"/>
  <c r="K1527" i="8" s="1"/>
  <c r="J1696" i="8"/>
  <c r="K1696" i="8" s="1"/>
  <c r="J1885" i="8"/>
  <c r="K1885" i="8" s="1"/>
  <c r="J833" i="8"/>
  <c r="K833" i="8" s="1"/>
  <c r="J1068" i="8"/>
  <c r="K1068" i="8" s="1"/>
  <c r="J1233" i="8"/>
  <c r="K1233" i="8" s="1"/>
  <c r="J1403" i="8"/>
  <c r="K1403" i="8" s="1"/>
  <c r="J1573" i="8"/>
  <c r="K1573" i="8" s="1"/>
  <c r="J1752" i="8"/>
  <c r="K1752" i="8" s="1"/>
  <c r="J99" i="8"/>
  <c r="K99" i="8" s="1"/>
  <c r="J919" i="8"/>
  <c r="K919" i="8" s="1"/>
  <c r="J23" i="8"/>
  <c r="J200" i="8"/>
  <c r="K200" i="8" s="1"/>
  <c r="J365" i="8"/>
  <c r="K365" i="8" s="1"/>
  <c r="J529" i="8"/>
  <c r="K529" i="8" s="1"/>
  <c r="J690" i="8"/>
  <c r="K690" i="8" s="1"/>
  <c r="J849" i="8"/>
  <c r="K849" i="8" s="1"/>
  <c r="J129" i="8"/>
  <c r="K129" i="8" s="1"/>
  <c r="J303" i="8"/>
  <c r="K303" i="8" s="1"/>
  <c r="J465" i="8"/>
  <c r="K465" i="8" s="1"/>
  <c r="J627" i="8"/>
  <c r="K627" i="8" s="1"/>
  <c r="J786" i="8"/>
  <c r="K786" i="8" s="1"/>
  <c r="J77" i="8"/>
  <c r="K77" i="8" s="1"/>
  <c r="J247" i="8"/>
  <c r="K247" i="8" s="1"/>
  <c r="J407" i="8"/>
  <c r="K407" i="8" s="1"/>
  <c r="J574" i="8"/>
  <c r="K574" i="8" s="1"/>
  <c r="J736" i="8"/>
  <c r="K736" i="8" s="1"/>
  <c r="J190" i="8"/>
  <c r="K190" i="8" s="1"/>
  <c r="J355" i="8"/>
  <c r="K355" i="8" s="1"/>
  <c r="J520" i="8"/>
  <c r="K520" i="8" s="1"/>
  <c r="J680" i="8"/>
  <c r="K680" i="8" s="1"/>
  <c r="J839" i="8"/>
  <c r="K839" i="8" s="1"/>
  <c r="J133" i="8"/>
  <c r="K133" i="8" s="1"/>
  <c r="J306" i="8"/>
  <c r="K306" i="8" s="1"/>
  <c r="J468" i="8"/>
  <c r="K468" i="8" s="1"/>
  <c r="J630" i="8"/>
  <c r="K630" i="8" s="1"/>
  <c r="J789" i="8"/>
  <c r="K789" i="8" s="1"/>
  <c r="K66" i="8"/>
  <c r="J236" i="8"/>
  <c r="K236" i="8" s="1"/>
  <c r="J397" i="8"/>
  <c r="K397" i="8" s="1"/>
  <c r="J563" i="8"/>
  <c r="K563" i="8" s="1"/>
  <c r="J727" i="8"/>
  <c r="K727" i="8" s="1"/>
  <c r="J882" i="8"/>
  <c r="K882" i="8" s="1"/>
  <c r="J178" i="8"/>
  <c r="K178" i="8" s="1"/>
  <c r="J359" i="8"/>
  <c r="K359" i="8" s="1"/>
  <c r="J523" i="8"/>
  <c r="K523" i="8" s="1"/>
  <c r="J684" i="8"/>
  <c r="K684" i="8" s="1"/>
  <c r="J842" i="8"/>
  <c r="K842" i="8" s="1"/>
  <c r="J136" i="8"/>
  <c r="K136" i="8" s="1"/>
  <c r="J309" i="8"/>
  <c r="K309" i="8" s="1"/>
  <c r="J471" i="8"/>
  <c r="K471" i="8" s="1"/>
  <c r="J634" i="8"/>
  <c r="K634" i="8" s="1"/>
  <c r="J792" i="8"/>
  <c r="K792" i="8" s="1"/>
  <c r="J84" i="8"/>
  <c r="K84" i="8" s="1"/>
  <c r="J254" i="8"/>
  <c r="K254" i="8" s="1"/>
  <c r="J413" i="8"/>
  <c r="K413" i="8" s="1"/>
  <c r="J580" i="8"/>
  <c r="K580" i="8" s="1"/>
  <c r="J742" i="8"/>
  <c r="K742" i="8" s="1"/>
  <c r="J185" i="8"/>
  <c r="K185" i="8" s="1"/>
  <c r="J351" i="8"/>
  <c r="K351" i="8" s="1"/>
  <c r="J516" i="8"/>
  <c r="K516" i="8" s="1"/>
  <c r="J676" i="8"/>
  <c r="K676" i="8" s="1"/>
  <c r="J835" i="8"/>
  <c r="K835" i="8" s="1"/>
  <c r="J662" i="8"/>
  <c r="K662" i="8" s="1"/>
  <c r="J1023" i="8"/>
  <c r="K1023" i="8" s="1"/>
  <c r="J1206" i="8"/>
  <c r="K1206" i="8" s="1"/>
  <c r="J1372" i="8"/>
  <c r="K1372" i="8" s="1"/>
  <c r="J1545" i="8"/>
  <c r="K1545" i="8" s="1"/>
  <c r="J1719" i="8"/>
  <c r="K1719" i="8" s="1"/>
  <c r="J1974" i="8"/>
  <c r="K1974" i="8" s="1"/>
  <c r="J892" i="8"/>
  <c r="K892" i="8" s="1"/>
  <c r="J1085" i="8"/>
  <c r="K1085" i="8" s="1"/>
  <c r="J1249" i="8"/>
  <c r="K1249" i="8" s="1"/>
  <c r="J1419" i="8"/>
  <c r="K1419" i="8" s="1"/>
  <c r="J1587" i="8"/>
  <c r="K1587" i="8" s="1"/>
  <c r="J1765" i="8"/>
  <c r="K1765" i="8" s="1"/>
  <c r="J184" i="8"/>
  <c r="K184" i="8" s="1"/>
  <c r="J931" i="8"/>
  <c r="K931" i="8" s="1"/>
  <c r="J50" i="8"/>
  <c r="K50" i="8" s="1"/>
  <c r="J41" i="8"/>
  <c r="K41" i="8" s="1"/>
  <c r="J214" i="8"/>
  <c r="K214" i="8" s="1"/>
  <c r="J379" i="8"/>
  <c r="K379" i="8" s="1"/>
  <c r="J542" i="8"/>
  <c r="K542" i="8" s="1"/>
  <c r="J704" i="8"/>
  <c r="K704" i="8" s="1"/>
  <c r="J862" i="8"/>
  <c r="K862" i="8" s="1"/>
  <c r="J143" i="8"/>
  <c r="K143" i="8" s="1"/>
  <c r="J315" i="8"/>
  <c r="K315" i="8" s="1"/>
  <c r="J477" i="8"/>
  <c r="K477" i="8" s="1"/>
  <c r="J640" i="8"/>
  <c r="K640" i="8" s="1"/>
  <c r="J799" i="8"/>
  <c r="K799" i="8" s="1"/>
  <c r="J90" i="8"/>
  <c r="K90" i="8" s="1"/>
  <c r="J261" i="8"/>
  <c r="K261" i="8" s="1"/>
  <c r="J420" i="8"/>
  <c r="K420" i="8" s="1"/>
  <c r="J586" i="8"/>
  <c r="K586" i="8" s="1"/>
  <c r="J748" i="8"/>
  <c r="K748" i="8" s="1"/>
  <c r="J28" i="8"/>
  <c r="K28" i="8" s="1"/>
  <c r="J204" i="8"/>
  <c r="K204" i="8" s="1"/>
  <c r="J368" i="8"/>
  <c r="K368" i="8" s="1"/>
  <c r="J533" i="8"/>
  <c r="K533" i="8" s="1"/>
  <c r="J693" i="8"/>
  <c r="K693" i="8" s="1"/>
  <c r="J853" i="8"/>
  <c r="K853" i="8" s="1"/>
  <c r="J147" i="8"/>
  <c r="K147" i="8" s="1"/>
  <c r="J318" i="8"/>
  <c r="K318" i="8" s="1"/>
  <c r="J480" i="8"/>
  <c r="K480" i="8" s="1"/>
  <c r="J643" i="8"/>
  <c r="K643" i="8" s="1"/>
  <c r="J802" i="8"/>
  <c r="K802" i="8" s="1"/>
  <c r="J81" i="8"/>
  <c r="K81" i="8" s="1"/>
  <c r="J251" i="8"/>
  <c r="K251" i="8" s="1"/>
  <c r="J410" i="8"/>
  <c r="K410" i="8" s="1"/>
  <c r="J577" i="8"/>
  <c r="K577" i="8" s="1"/>
  <c r="J739" i="8"/>
  <c r="K739" i="8" s="1"/>
  <c r="J193" i="8"/>
  <c r="K193" i="8" s="1"/>
  <c r="J373" i="8"/>
  <c r="K373" i="8" s="1"/>
  <c r="J536" i="8"/>
  <c r="K536" i="8" s="1"/>
  <c r="J697" i="8"/>
  <c r="K697" i="8" s="1"/>
  <c r="J856" i="8"/>
  <c r="K856" i="8" s="1"/>
  <c r="J150" i="8"/>
  <c r="K150" i="8" s="1"/>
  <c r="J322" i="8"/>
  <c r="K322" i="8" s="1"/>
  <c r="J483" i="8"/>
  <c r="K483" i="8" s="1"/>
  <c r="J646" i="8"/>
  <c r="K646" i="8" s="1"/>
  <c r="J805" i="8"/>
  <c r="K805" i="8" s="1"/>
  <c r="J96" i="8"/>
  <c r="K96" i="8" s="1"/>
  <c r="J269" i="8"/>
  <c r="K269" i="8" s="1"/>
  <c r="J429" i="8"/>
  <c r="K429" i="8" s="1"/>
  <c r="J593" i="8"/>
  <c r="K593" i="8" s="1"/>
  <c r="J757" i="8"/>
  <c r="K757" i="8" s="1"/>
  <c r="J199" i="8"/>
  <c r="K199" i="8" s="1"/>
  <c r="J364" i="8"/>
  <c r="K364" i="8" s="1"/>
  <c r="J528" i="8"/>
  <c r="K528" i="8" s="1"/>
  <c r="J689" i="8"/>
  <c r="K689" i="8" s="1"/>
  <c r="J848" i="8"/>
  <c r="K848" i="8" s="1"/>
  <c r="J744" i="8"/>
  <c r="K744" i="8" s="1"/>
  <c r="J1052" i="8"/>
  <c r="K1052" i="8" s="1"/>
  <c r="J1218" i="8"/>
  <c r="K1218" i="8" s="1"/>
  <c r="J1387" i="8"/>
  <c r="K1387" i="8" s="1"/>
  <c r="J1557" i="8"/>
  <c r="K1557" i="8" s="1"/>
  <c r="J1739" i="8"/>
  <c r="K1739" i="8" s="1"/>
  <c r="J2032" i="8"/>
  <c r="K2032" i="8" s="1"/>
  <c r="J905" i="8"/>
  <c r="K905" i="8" s="1"/>
  <c r="J1100" i="8"/>
  <c r="K1100" i="8" s="1"/>
  <c r="J1261" i="8"/>
  <c r="K1261" i="8" s="1"/>
  <c r="J1435" i="8"/>
  <c r="K1435" i="8" s="1"/>
  <c r="J1601" i="8"/>
  <c r="K1601" i="8" s="1"/>
  <c r="J1778" i="8"/>
  <c r="K1778" i="8" s="1"/>
  <c r="J271" i="8"/>
  <c r="K271" i="8" s="1"/>
  <c r="J943" i="8"/>
  <c r="K943" i="8" s="1"/>
  <c r="J58" i="8"/>
  <c r="J229" i="8"/>
  <c r="K229" i="8" s="1"/>
  <c r="J392" i="8"/>
  <c r="K392" i="8" s="1"/>
  <c r="J555" i="8"/>
  <c r="K555" i="8" s="1"/>
  <c r="J721" i="8"/>
  <c r="K721" i="8" s="1"/>
  <c r="J877" i="8"/>
  <c r="K877" i="8" s="1"/>
  <c r="J157" i="8"/>
  <c r="K157" i="8" s="1"/>
  <c r="J328" i="8"/>
  <c r="K328" i="8" s="1"/>
  <c r="J489" i="8"/>
  <c r="K489" i="8" s="1"/>
  <c r="J653" i="8"/>
  <c r="K653" i="8" s="1"/>
  <c r="J812" i="8"/>
  <c r="K812" i="8" s="1"/>
  <c r="J103" i="8"/>
  <c r="K103" i="8" s="1"/>
  <c r="J275" i="8"/>
  <c r="K275" i="8" s="1"/>
  <c r="J436" i="8"/>
  <c r="K436" i="8" s="1"/>
  <c r="J600" i="8"/>
  <c r="K600" i="8" s="1"/>
  <c r="J763" i="8"/>
  <c r="K763" i="8" s="1"/>
  <c r="J45" i="8"/>
  <c r="K45" i="8" s="1"/>
  <c r="J218" i="8"/>
  <c r="K218" i="8" s="1"/>
  <c r="J382" i="8"/>
  <c r="K382" i="8" s="1"/>
  <c r="J545" i="8"/>
  <c r="K545" i="8" s="1"/>
  <c r="J712" i="8"/>
  <c r="K712" i="8" s="1"/>
  <c r="J868" i="8"/>
  <c r="K868" i="8" s="1"/>
  <c r="J162" i="8"/>
  <c r="K162" i="8" s="1"/>
  <c r="J331" i="8"/>
  <c r="K331" i="8" s="1"/>
  <c r="J493" i="8"/>
  <c r="K493" i="8" s="1"/>
  <c r="J656" i="8"/>
  <c r="K656" i="8" s="1"/>
  <c r="J815" i="8"/>
  <c r="K815" i="8" s="1"/>
  <c r="J93" i="8"/>
  <c r="K93" i="8" s="1"/>
  <c r="J265" i="8"/>
  <c r="K265" i="8" s="1"/>
  <c r="J423" i="8"/>
  <c r="K423" i="8" s="1"/>
  <c r="J590" i="8"/>
  <c r="K590" i="8" s="1"/>
  <c r="J751" i="8"/>
  <c r="K751" i="8" s="1"/>
  <c r="J33" i="8"/>
  <c r="K33" i="8" s="1"/>
  <c r="J221" i="8"/>
  <c r="K221" i="8" s="1"/>
  <c r="J385" i="8"/>
  <c r="K385" i="8" s="1"/>
  <c r="J548" i="8"/>
  <c r="K548" i="8" s="1"/>
  <c r="J715" i="8"/>
  <c r="K715" i="8" s="1"/>
  <c r="J871" i="8"/>
  <c r="K871" i="8" s="1"/>
  <c r="J165" i="8"/>
  <c r="K165" i="8" s="1"/>
  <c r="J335" i="8"/>
  <c r="K335" i="8" s="1"/>
  <c r="J497" i="8"/>
  <c r="K497" i="8" s="1"/>
  <c r="J659" i="8"/>
  <c r="K659" i="8" s="1"/>
  <c r="J818" i="8"/>
  <c r="K818" i="8" s="1"/>
  <c r="J110" i="8"/>
  <c r="K110" i="8" s="1"/>
  <c r="J285" i="8"/>
  <c r="K285" i="8" s="1"/>
  <c r="J444" i="8"/>
  <c r="K444" i="8" s="1"/>
  <c r="J607" i="8"/>
  <c r="K607" i="8" s="1"/>
  <c r="J769" i="8"/>
  <c r="K769" i="8" s="1"/>
  <c r="J40" i="8"/>
  <c r="K40" i="8" s="1"/>
  <c r="J30" i="8"/>
  <c r="K30" i="8" s="1"/>
  <c r="J74" i="8"/>
  <c r="K74" i="8" s="1"/>
  <c r="J244" i="8"/>
  <c r="K244" i="8" s="1"/>
  <c r="J405" i="8"/>
  <c r="K405" i="8" s="1"/>
  <c r="J571" i="8"/>
  <c r="K571" i="8" s="1"/>
  <c r="J734" i="8"/>
  <c r="K734" i="8" s="1"/>
  <c r="J889" i="8"/>
  <c r="K889" i="8" s="1"/>
  <c r="J173" i="8"/>
  <c r="K173" i="8" s="1"/>
  <c r="J341" i="8"/>
  <c r="K341" i="8" s="1"/>
  <c r="J504" i="8"/>
  <c r="K504" i="8" s="1"/>
  <c r="J665" i="8"/>
  <c r="K665" i="8" s="1"/>
  <c r="J825" i="8"/>
  <c r="K825" i="8" s="1"/>
  <c r="J116" i="8"/>
  <c r="K116" i="8" s="1"/>
  <c r="J291" i="8"/>
  <c r="K291" i="8" s="1"/>
  <c r="J451" i="8"/>
  <c r="K451" i="8" s="1"/>
  <c r="J616" i="8"/>
  <c r="K616" i="8" s="1"/>
  <c r="J775" i="8"/>
  <c r="K775" i="8" s="1"/>
  <c r="K63" i="8"/>
  <c r="J232" i="8"/>
  <c r="K232" i="8" s="1"/>
  <c r="J395" i="8"/>
  <c r="K395" i="8" s="1"/>
  <c r="J561" i="8"/>
  <c r="K561" i="8" s="1"/>
  <c r="J725" i="8"/>
  <c r="K725" i="8" s="1"/>
  <c r="J880" i="8"/>
  <c r="K880" i="8" s="1"/>
  <c r="J176" i="8"/>
  <c r="K176" i="8" s="1"/>
  <c r="J344" i="8"/>
  <c r="K344" i="8" s="1"/>
  <c r="J507" i="8"/>
  <c r="K507" i="8" s="1"/>
  <c r="J668" i="8"/>
  <c r="K668" i="8" s="1"/>
  <c r="J828" i="8"/>
  <c r="K828" i="8" s="1"/>
  <c r="J106" i="8"/>
  <c r="K106" i="8" s="1"/>
  <c r="J279" i="8"/>
  <c r="K279" i="8" s="1"/>
  <c r="J441" i="8"/>
  <c r="K441" i="8" s="1"/>
  <c r="J603" i="8"/>
  <c r="K603" i="8" s="1"/>
  <c r="J766" i="8"/>
  <c r="K766" i="8" s="1"/>
  <c r="J49" i="8"/>
  <c r="K49" i="8" s="1"/>
  <c r="J237" i="8"/>
  <c r="K237" i="8" s="1"/>
  <c r="J398" i="8"/>
  <c r="K398" i="8" s="1"/>
  <c r="J564" i="8"/>
  <c r="K564" i="8" s="1"/>
  <c r="J728" i="8"/>
  <c r="K728" i="8" s="1"/>
  <c r="J883" i="8"/>
  <c r="K883" i="8" s="1"/>
  <c r="J181" i="8"/>
  <c r="K181" i="8" s="1"/>
  <c r="J347" i="8"/>
  <c r="K347" i="8" s="1"/>
  <c r="J510" i="8"/>
  <c r="K510" i="8" s="1"/>
  <c r="J672" i="8"/>
  <c r="K672" i="8" s="1"/>
  <c r="J831" i="8"/>
  <c r="K831" i="8" s="1"/>
  <c r="J124" i="8"/>
  <c r="K124" i="8" s="1"/>
  <c r="J297" i="8"/>
  <c r="K297" i="8" s="1"/>
  <c r="J458" i="8"/>
  <c r="K458" i="8" s="1"/>
  <c r="J622" i="8"/>
  <c r="K622" i="8" s="1"/>
  <c r="J781" i="8"/>
  <c r="K781" i="8" s="1"/>
  <c r="J57" i="8"/>
  <c r="J228" i="8"/>
  <c r="K228" i="8" s="1"/>
  <c r="J391" i="8"/>
  <c r="K391" i="8" s="1"/>
  <c r="J554" i="8"/>
  <c r="K554" i="8" s="1"/>
  <c r="J720" i="8"/>
  <c r="K720" i="8" s="1"/>
  <c r="J876" i="8"/>
  <c r="K876" i="8" s="1"/>
  <c r="J891" i="8"/>
  <c r="K891" i="8" s="1"/>
  <c r="J1083" i="8"/>
  <c r="K1083" i="8" s="1"/>
  <c r="J1248" i="8"/>
  <c r="K1248" i="8" s="1"/>
  <c r="J1418" i="8"/>
  <c r="K1418" i="8" s="1"/>
  <c r="J1586" i="8"/>
  <c r="K1586" i="8" s="1"/>
  <c r="J1764" i="8"/>
  <c r="K1764" i="8" s="1"/>
  <c r="J183" i="8"/>
  <c r="K183" i="8" s="1"/>
  <c r="J930" i="8"/>
  <c r="K930" i="8" s="1"/>
  <c r="J1124" i="8"/>
  <c r="K1124" i="8" s="1"/>
  <c r="J1288" i="8"/>
  <c r="K1288" i="8" s="1"/>
  <c r="J1460" i="8"/>
  <c r="K1460" i="8" s="1"/>
  <c r="J1633" i="8"/>
  <c r="K1633" i="8" s="1"/>
  <c r="J1804" i="8"/>
  <c r="K1804" i="8" s="1"/>
  <c r="J431" i="8"/>
  <c r="K431" i="8" s="1"/>
  <c r="J968" i="8"/>
  <c r="K968" i="8" s="1"/>
  <c r="J69" i="8"/>
  <c r="K69" i="8" s="1"/>
  <c r="J88" i="8"/>
  <c r="K88" i="8" s="1"/>
  <c r="J258" i="8"/>
  <c r="K258" i="8" s="1"/>
  <c r="J418" i="8"/>
  <c r="K418" i="8" s="1"/>
  <c r="J584" i="8"/>
  <c r="K584" i="8" s="1"/>
  <c r="J746" i="8"/>
  <c r="K746" i="8" s="1"/>
  <c r="J187" i="8"/>
  <c r="K187" i="8" s="1"/>
  <c r="J353" i="8"/>
  <c r="K353" i="8" s="1"/>
  <c r="J518" i="8"/>
  <c r="K518" i="8" s="1"/>
  <c r="J678" i="8"/>
  <c r="K678" i="8" s="1"/>
  <c r="J837" i="8"/>
  <c r="K837" i="8" s="1"/>
  <c r="J130" i="8"/>
  <c r="K130" i="8" s="1"/>
  <c r="J304" i="8"/>
  <c r="K304" i="8" s="1"/>
  <c r="J466" i="8"/>
  <c r="K466" i="8" s="1"/>
  <c r="J628" i="8"/>
  <c r="K628" i="8" s="1"/>
  <c r="J787" i="8"/>
  <c r="K787" i="8" s="1"/>
  <c r="J78" i="8"/>
  <c r="K78" i="8" s="1"/>
  <c r="J248" i="8"/>
  <c r="K248" i="8" s="1"/>
  <c r="J408" i="8"/>
  <c r="K408" i="8" s="1"/>
  <c r="J575" i="8"/>
  <c r="K575" i="8" s="1"/>
  <c r="J737" i="8"/>
  <c r="K737" i="8" s="1"/>
  <c r="J191" i="8"/>
  <c r="K191" i="8" s="1"/>
  <c r="J356" i="8"/>
  <c r="K356" i="8" s="1"/>
  <c r="J521" i="8"/>
  <c r="K521" i="8" s="1"/>
  <c r="J681" i="8"/>
  <c r="K681" i="8" s="1"/>
  <c r="J840" i="8"/>
  <c r="K840" i="8" s="1"/>
  <c r="J119" i="8"/>
  <c r="K119" i="8" s="1"/>
  <c r="J294" i="8"/>
  <c r="K294" i="8" s="1"/>
  <c r="J455" i="8"/>
  <c r="K455" i="8" s="1"/>
  <c r="J619" i="8"/>
  <c r="K619" i="8" s="1"/>
  <c r="J778" i="8"/>
  <c r="K778" i="8" s="1"/>
  <c r="J67" i="8"/>
  <c r="K67" i="8" s="1"/>
  <c r="J252" i="8"/>
  <c r="K252" i="8" s="1"/>
  <c r="J411" i="8"/>
  <c r="K411" i="8" s="1"/>
  <c r="J578" i="8"/>
  <c r="K578" i="8" s="1"/>
  <c r="J740" i="8"/>
  <c r="K740" i="8" s="1"/>
  <c r="J194" i="8"/>
  <c r="K194" i="8" s="1"/>
  <c r="J360" i="8"/>
  <c r="K360" i="8" s="1"/>
  <c r="J524" i="8"/>
  <c r="K524" i="8" s="1"/>
  <c r="J685" i="8"/>
  <c r="K685" i="8" s="1"/>
  <c r="J843" i="8"/>
  <c r="K843" i="8" s="1"/>
  <c r="J137" i="8"/>
  <c r="K137" i="8" s="1"/>
  <c r="J310" i="8"/>
  <c r="K310" i="8" s="1"/>
  <c r="J472" i="8"/>
  <c r="K472" i="8" s="1"/>
  <c r="J635" i="8"/>
  <c r="K635" i="8" s="1"/>
  <c r="J793" i="8"/>
  <c r="K793" i="8" s="1"/>
  <c r="J73" i="8"/>
  <c r="K73" i="8" s="1"/>
  <c r="J243" i="8"/>
  <c r="K243" i="8" s="1"/>
  <c r="J404" i="8"/>
  <c r="K404" i="8" s="1"/>
  <c r="J570" i="8"/>
  <c r="K570" i="8" s="1"/>
  <c r="J733" i="8"/>
  <c r="K733" i="8" s="1"/>
  <c r="J888" i="8"/>
  <c r="K888" i="8" s="1"/>
  <c r="J904" i="8"/>
  <c r="K904" i="8" s="1"/>
  <c r="J1099" i="8"/>
  <c r="K1099" i="8" s="1"/>
  <c r="J1260" i="8"/>
  <c r="K1260" i="8" s="1"/>
  <c r="J1433" i="8"/>
  <c r="K1433" i="8" s="1"/>
  <c r="J1599" i="8"/>
  <c r="K1599" i="8" s="1"/>
  <c r="J1776" i="8"/>
  <c r="K1776" i="8" s="1"/>
  <c r="J270" i="8"/>
  <c r="K270" i="8" s="1"/>
  <c r="J942" i="8"/>
  <c r="K942" i="8" s="1"/>
  <c r="J1142" i="8"/>
  <c r="K1142" i="8" s="1"/>
  <c r="J1303" i="8"/>
  <c r="K1303" i="8" s="1"/>
  <c r="J1476" i="8"/>
  <c r="K1476" i="8" s="1"/>
  <c r="J1649" i="8"/>
  <c r="K1649" i="8" s="1"/>
  <c r="J1816" i="8"/>
  <c r="K1816" i="8" s="1"/>
  <c r="J514" i="8"/>
  <c r="K514" i="8" s="1"/>
  <c r="J982" i="8"/>
  <c r="K982" i="8" s="1"/>
  <c r="J213" i="8"/>
  <c r="K213" i="8" s="1"/>
  <c r="J1067" i="8"/>
  <c r="K1067" i="8" s="1"/>
  <c r="J918" i="8"/>
  <c r="K918" i="8" s="1"/>
  <c r="J350" i="8"/>
  <c r="K350" i="8" s="1"/>
  <c r="J1155" i="8"/>
  <c r="K1155" i="8" s="1"/>
  <c r="J1320" i="8"/>
  <c r="K1320" i="8" s="1"/>
  <c r="J1491" i="8"/>
  <c r="K1491" i="8" s="1"/>
  <c r="J1662" i="8"/>
  <c r="K1662" i="8" s="1"/>
  <c r="J1830" i="8"/>
  <c r="K1830" i="8" s="1"/>
  <c r="J526" i="8"/>
  <c r="K526" i="8" s="1"/>
  <c r="J983" i="8"/>
  <c r="K983" i="8" s="1"/>
  <c r="J1181" i="8"/>
  <c r="K1181" i="8" s="1"/>
  <c r="J1349" i="8"/>
  <c r="K1349" i="8" s="1"/>
  <c r="J1518" i="8"/>
  <c r="K1518" i="8" s="1"/>
  <c r="J1687" i="8"/>
  <c r="K1687" i="8" s="1"/>
  <c r="J1857" i="8"/>
  <c r="K1857" i="8" s="1"/>
  <c r="J688" i="8"/>
  <c r="K688" i="8" s="1"/>
  <c r="J1032" i="8"/>
  <c r="K1032" i="8" s="1"/>
  <c r="J1210" i="8"/>
  <c r="K1210" i="8" s="1"/>
  <c r="J1377" i="8"/>
  <c r="K1377" i="8" s="1"/>
  <c r="J1549" i="8"/>
  <c r="K1549" i="8" s="1"/>
  <c r="J1731" i="8"/>
  <c r="K1731" i="8" s="1"/>
  <c r="J1985" i="8"/>
  <c r="K1985" i="8" s="1"/>
  <c r="J859" i="8"/>
  <c r="K859" i="8" s="1"/>
  <c r="J1072" i="8"/>
  <c r="K1072" i="8" s="1"/>
  <c r="J300" i="8"/>
  <c r="K300" i="8" s="1"/>
  <c r="J947" i="8"/>
  <c r="K947" i="8" s="1"/>
  <c r="J636" i="8"/>
  <c r="K636" i="8" s="1"/>
  <c r="J1013" i="8"/>
  <c r="K1013" i="8" s="1"/>
  <c r="J1201" i="8"/>
  <c r="K1201" i="8" s="1"/>
  <c r="J1367" i="8"/>
  <c r="K1367" i="8" s="1"/>
  <c r="J1539" i="8"/>
  <c r="K1539" i="8" s="1"/>
  <c r="J1703" i="8"/>
  <c r="K1703" i="8" s="1"/>
  <c r="J1949" i="8"/>
  <c r="K1949" i="8" s="1"/>
  <c r="J1152" i="8"/>
  <c r="K1152" i="8" s="1"/>
  <c r="J1498" i="8"/>
  <c r="K1498" i="8" s="1"/>
  <c r="J950" i="8"/>
  <c r="K950" i="8" s="1"/>
  <c r="J1356" i="8"/>
  <c r="K1356" i="8" s="1"/>
  <c r="J1694" i="8"/>
  <c r="K1694" i="8" s="1"/>
  <c r="J2185" i="8"/>
  <c r="K2185" i="8" s="1"/>
  <c r="J2371" i="8"/>
  <c r="K2371" i="8" s="1"/>
  <c r="J2581" i="8"/>
  <c r="K2581" i="8" s="1"/>
  <c r="J2755" i="8"/>
  <c r="K2755" i="8" s="1"/>
  <c r="J952" i="8"/>
  <c r="K952" i="8" s="1"/>
  <c r="J1357" i="8"/>
  <c r="K1357" i="8" s="1"/>
  <c r="J1695" i="8"/>
  <c r="K1695" i="8" s="1"/>
  <c r="J2186" i="8"/>
  <c r="K2186" i="8" s="1"/>
  <c r="J2373" i="8"/>
  <c r="K2373" i="8" s="1"/>
  <c r="J2582" i="8"/>
  <c r="K2582" i="8" s="1"/>
  <c r="J2756" i="8"/>
  <c r="K2756" i="8" s="1"/>
  <c r="J953" i="8"/>
  <c r="K953" i="8" s="1"/>
  <c r="J1363" i="8"/>
  <c r="K1363" i="8" s="1"/>
  <c r="J1701" i="8"/>
  <c r="K1701" i="8" s="1"/>
  <c r="J2187" i="8"/>
  <c r="K2187" i="8" s="1"/>
  <c r="J2375" i="8"/>
  <c r="K2375" i="8" s="1"/>
  <c r="J2583" i="8"/>
  <c r="K2583" i="8" s="1"/>
  <c r="J2757" i="8"/>
  <c r="K2757" i="8" s="1"/>
  <c r="J963" i="8"/>
  <c r="K963" i="8" s="1"/>
  <c r="J1368" i="8"/>
  <c r="K1368" i="8" s="1"/>
  <c r="J403" i="8"/>
  <c r="K403" i="8" s="1"/>
  <c r="J1257" i="8"/>
  <c r="K1257" i="8" s="1"/>
  <c r="J1596" i="8"/>
  <c r="K1596" i="8" s="1"/>
  <c r="J2133" i="8"/>
  <c r="K2133" i="8" s="1"/>
  <c r="J2317" i="8"/>
  <c r="K2317" i="8" s="1"/>
  <c r="J2529" i="8"/>
  <c r="K2529" i="8" s="1"/>
  <c r="J2702" i="8"/>
  <c r="K2702" i="8" s="1"/>
  <c r="J415" i="8"/>
  <c r="K415" i="8" s="1"/>
  <c r="J1258" i="8"/>
  <c r="K1258" i="8" s="1"/>
  <c r="J1597" i="8"/>
  <c r="K1597" i="8" s="1"/>
  <c r="J2134" i="8"/>
  <c r="K2134" i="8" s="1"/>
  <c r="J2318" i="8"/>
  <c r="K2318" i="8" s="1"/>
  <c r="J2532" i="8"/>
  <c r="K2532" i="8" s="1"/>
  <c r="J2703" i="8"/>
  <c r="K2703" i="8" s="1"/>
  <c r="J901" i="8"/>
  <c r="K901" i="8" s="1"/>
  <c r="J1770" i="8"/>
  <c r="K1770" i="8" s="1"/>
  <c r="J1607" i="8"/>
  <c r="K1607" i="8" s="1"/>
  <c r="J2280" i="8"/>
  <c r="K2280" i="8" s="1"/>
  <c r="J2618" i="8"/>
  <c r="K2618" i="8" s="1"/>
  <c r="J2878" i="8"/>
  <c r="K2878" i="8" s="1"/>
  <c r="J3031" i="8"/>
  <c r="K3031" i="8" s="1"/>
  <c r="J3205" i="8"/>
  <c r="K3205" i="8" s="1"/>
  <c r="J1205" i="8"/>
  <c r="K1205" i="8" s="1"/>
  <c r="J2125" i="8"/>
  <c r="K2125" i="8" s="1"/>
  <c r="J2464" i="8"/>
  <c r="K2464" i="8" s="1"/>
  <c r="J2766" i="8"/>
  <c r="K2766" i="8" s="1"/>
  <c r="J2954" i="8"/>
  <c r="K2954" i="8" s="1"/>
  <c r="J313" i="8"/>
  <c r="K313" i="8" s="1"/>
  <c r="J1165" i="8"/>
  <c r="K1165" i="8" s="1"/>
  <c r="J1026" i="8"/>
  <c r="K1026" i="8" s="1"/>
  <c r="J894" i="8"/>
  <c r="K894" i="8" s="1"/>
  <c r="J1167" i="8"/>
  <c r="K1167" i="8" s="1"/>
  <c r="J1335" i="8"/>
  <c r="K1335" i="8" s="1"/>
  <c r="J1505" i="8"/>
  <c r="K1505" i="8" s="1"/>
  <c r="J1674" i="8"/>
  <c r="K1674" i="8" s="1"/>
  <c r="J1843" i="8"/>
  <c r="K1843" i="8" s="1"/>
  <c r="J608" i="8"/>
  <c r="K608" i="8" s="1"/>
  <c r="J1006" i="8"/>
  <c r="K1006" i="8" s="1"/>
  <c r="J1197" i="8"/>
  <c r="K1197" i="8" s="1"/>
  <c r="J1361" i="8"/>
  <c r="K1361" i="8" s="1"/>
  <c r="J1532" i="8"/>
  <c r="K1532" i="8" s="1"/>
  <c r="J1699" i="8"/>
  <c r="K1699" i="8" s="1"/>
  <c r="J1897" i="8"/>
  <c r="K1897" i="8" s="1"/>
  <c r="J771" i="8"/>
  <c r="K771" i="8" s="1"/>
  <c r="J1058" i="8"/>
  <c r="K1058" i="8" s="1"/>
  <c r="J1222" i="8"/>
  <c r="K1222" i="8" s="1"/>
  <c r="J1392" i="8"/>
  <c r="K1392" i="8" s="1"/>
  <c r="J1563" i="8"/>
  <c r="K1563" i="8" s="1"/>
  <c r="J1743" i="8"/>
  <c r="K1743" i="8" s="1"/>
  <c r="J2053" i="8"/>
  <c r="K2053" i="8" s="1"/>
  <c r="J897" i="8"/>
  <c r="K897" i="8" s="1"/>
  <c r="J1092" i="8"/>
  <c r="K1092" i="8" s="1"/>
  <c r="J377" i="8"/>
  <c r="K377" i="8" s="1"/>
  <c r="J960" i="8"/>
  <c r="K960" i="8" s="1"/>
  <c r="J718" i="8"/>
  <c r="K718" i="8" s="1"/>
  <c r="J1041" i="8"/>
  <c r="K1041" i="8" s="1"/>
  <c r="J1213" i="8"/>
  <c r="K1213" i="8" s="1"/>
  <c r="J1381" i="8"/>
  <c r="K1381" i="8" s="1"/>
  <c r="J1552" i="8"/>
  <c r="K1552" i="8" s="1"/>
  <c r="J1734" i="8"/>
  <c r="K1734" i="8" s="1"/>
  <c r="J1993" i="8"/>
  <c r="K1993" i="8" s="1"/>
  <c r="J1190" i="8"/>
  <c r="K1190" i="8" s="1"/>
  <c r="J1523" i="8"/>
  <c r="K1523" i="8" s="1"/>
  <c r="J989" i="8"/>
  <c r="K989" i="8" s="1"/>
  <c r="J1385" i="8"/>
  <c r="K1385" i="8" s="1"/>
  <c r="J1737" i="8"/>
  <c r="K1737" i="8" s="1"/>
  <c r="J2198" i="8"/>
  <c r="K2198" i="8" s="1"/>
  <c r="J2396" i="8"/>
  <c r="K2396" i="8" s="1"/>
  <c r="J2594" i="8"/>
  <c r="K2594" i="8" s="1"/>
  <c r="J2769" i="8"/>
  <c r="K2769" i="8" s="1"/>
  <c r="J993" i="8"/>
  <c r="K993" i="8" s="1"/>
  <c r="J1386" i="8"/>
  <c r="K1386" i="8" s="1"/>
  <c r="J1738" i="8"/>
  <c r="K1738" i="8" s="1"/>
  <c r="J2199" i="8"/>
  <c r="K2199" i="8" s="1"/>
  <c r="J2397" i="8"/>
  <c r="K2397" i="8" s="1"/>
  <c r="J2596" i="8"/>
  <c r="K2596" i="8" s="1"/>
  <c r="J2770" i="8"/>
  <c r="K2770" i="8" s="1"/>
  <c r="J995" i="8"/>
  <c r="K995" i="8" s="1"/>
  <c r="J1393" i="8"/>
  <c r="K1393" i="8" s="1"/>
  <c r="J1744" i="8"/>
  <c r="K1744" i="8" s="1"/>
  <c r="J2200" i="8"/>
  <c r="K2200" i="8" s="1"/>
  <c r="J2398" i="8"/>
  <c r="K2398" i="8" s="1"/>
  <c r="J2600" i="8"/>
  <c r="K2600" i="8" s="1"/>
  <c r="J2771" i="8"/>
  <c r="K2771" i="8" s="1"/>
  <c r="J1017" i="8"/>
  <c r="K1017" i="8" s="1"/>
  <c r="J1397" i="8"/>
  <c r="K1397" i="8" s="1"/>
  <c r="J650" i="8"/>
  <c r="K650" i="8" s="1"/>
  <c r="J1284" i="8"/>
  <c r="K1284" i="8" s="1"/>
  <c r="J1629" i="8"/>
  <c r="K1629" i="8" s="1"/>
  <c r="J2145" i="8"/>
  <c r="K2145" i="8" s="1"/>
  <c r="J2329" i="8"/>
  <c r="K2329" i="8" s="1"/>
  <c r="J2548" i="8"/>
  <c r="K2548" i="8" s="1"/>
  <c r="J2719" i="8"/>
  <c r="K2719" i="8" s="1"/>
  <c r="J661" i="8"/>
  <c r="K661" i="8" s="1"/>
  <c r="J1285" i="8"/>
  <c r="K1285" i="8" s="1"/>
  <c r="J1630" i="8"/>
  <c r="K1630" i="8" s="1"/>
  <c r="J2146" i="8"/>
  <c r="K2146" i="8" s="1"/>
  <c r="J2330" i="8"/>
  <c r="K2330" i="8" s="1"/>
  <c r="J2549" i="8"/>
  <c r="K2549" i="8" s="1"/>
  <c r="J2720" i="8"/>
  <c r="K2720" i="8" s="1"/>
  <c r="J988" i="8"/>
  <c r="K988" i="8" s="1"/>
  <c r="J1811" i="8"/>
  <c r="K1811" i="8" s="1"/>
  <c r="J1669" i="8"/>
  <c r="K1669" i="8" s="1"/>
  <c r="J2307" i="8"/>
  <c r="K2307" i="8" s="1"/>
  <c r="J2644" i="8"/>
  <c r="K2644" i="8" s="1"/>
  <c r="J2891" i="8"/>
  <c r="K2891" i="8" s="1"/>
  <c r="J3044" i="8"/>
  <c r="K3044" i="8" s="1"/>
  <c r="J3218" i="8"/>
  <c r="K3218" i="8" s="1"/>
  <c r="J1266" i="8"/>
  <c r="K1266" i="8" s="1"/>
  <c r="J2147" i="8"/>
  <c r="K2147" i="8" s="1"/>
  <c r="J2495" i="8"/>
  <c r="K2495" i="8" s="1"/>
  <c r="J2791" i="8"/>
  <c r="K2791" i="8" s="1"/>
  <c r="J378" i="8"/>
  <c r="K378" i="8" s="1"/>
  <c r="J1231" i="8"/>
  <c r="K1231" i="8" s="1"/>
  <c r="J1112" i="8"/>
  <c r="K1112" i="8" s="1"/>
  <c r="J956" i="8"/>
  <c r="K956" i="8" s="1"/>
  <c r="J1180" i="8"/>
  <c r="K1180" i="8" s="1"/>
  <c r="J1348" i="8"/>
  <c r="K1348" i="8" s="1"/>
  <c r="J1517" i="8"/>
  <c r="K1517" i="8" s="1"/>
  <c r="J1686" i="8"/>
  <c r="K1686" i="8" s="1"/>
  <c r="J1856" i="8"/>
  <c r="K1856" i="8" s="1"/>
  <c r="J687" i="8"/>
  <c r="K687" i="8" s="1"/>
  <c r="J1030" i="8"/>
  <c r="K1030" i="8" s="1"/>
  <c r="J1209" i="8"/>
  <c r="K1209" i="8" s="1"/>
  <c r="J1376" i="8"/>
  <c r="K1376" i="8" s="1"/>
  <c r="J1548" i="8"/>
  <c r="K1548" i="8" s="1"/>
  <c r="J1730" i="8"/>
  <c r="K1730" i="8" s="1"/>
  <c r="J1983" i="8"/>
  <c r="K1983" i="8" s="1"/>
  <c r="J847" i="8"/>
  <c r="K847" i="8" s="1"/>
  <c r="J1071" i="8"/>
  <c r="K1071" i="8" s="1"/>
  <c r="J1236" i="8"/>
  <c r="K1236" i="8" s="1"/>
  <c r="J1407" i="8"/>
  <c r="K1407" i="8" s="1"/>
  <c r="J1576" i="8"/>
  <c r="K1576" i="8" s="1"/>
  <c r="J1756" i="8"/>
  <c r="K1756" i="8" s="1"/>
  <c r="J36" i="8"/>
  <c r="K36" i="8" s="1"/>
  <c r="J909" i="8"/>
  <c r="K909" i="8" s="1"/>
  <c r="J1104" i="8"/>
  <c r="K1104" i="8" s="1"/>
  <c r="J462" i="8"/>
  <c r="K462" i="8" s="1"/>
  <c r="J973" i="8"/>
  <c r="K973" i="8" s="1"/>
  <c r="J795" i="8"/>
  <c r="K795" i="8" s="1"/>
  <c r="J1062" i="8"/>
  <c r="K1062" i="8" s="1"/>
  <c r="J1225" i="8"/>
  <c r="K1225" i="8" s="1"/>
  <c r="J1396" i="8"/>
  <c r="K1396" i="8" s="1"/>
  <c r="J1567" i="8"/>
  <c r="K1567" i="8" s="1"/>
  <c r="J1746" i="8"/>
  <c r="K1746" i="8" s="1"/>
  <c r="J2077" i="8"/>
  <c r="K2077" i="8" s="1"/>
  <c r="J1214" i="8"/>
  <c r="K1214" i="8" s="1"/>
  <c r="J1553" i="8"/>
  <c r="K1553" i="8" s="1"/>
  <c r="J1060" i="8"/>
  <c r="K1060" i="8" s="1"/>
  <c r="J1415" i="8"/>
  <c r="K1415" i="8" s="1"/>
  <c r="J1762" i="8"/>
  <c r="K1762" i="8" s="1"/>
  <c r="J2210" i="8"/>
  <c r="K2210" i="8" s="1"/>
  <c r="J2411" i="8"/>
  <c r="K2411" i="8" s="1"/>
  <c r="J2611" i="8"/>
  <c r="K2611" i="8" s="1"/>
  <c r="J2782" i="8"/>
  <c r="K2782" i="8" s="1"/>
  <c r="J1063" i="8"/>
  <c r="K1063" i="8" s="1"/>
  <c r="J1417" i="8"/>
  <c r="K1417" i="8" s="1"/>
  <c r="J1763" i="8"/>
  <c r="K1763" i="8" s="1"/>
  <c r="J2211" i="8"/>
  <c r="K2211" i="8" s="1"/>
  <c r="J2412" i="8"/>
  <c r="K2412" i="8" s="1"/>
  <c r="J2612" i="8"/>
  <c r="K2612" i="8" s="1"/>
  <c r="J2783" i="8"/>
  <c r="K2783" i="8" s="1"/>
  <c r="J1064" i="8"/>
  <c r="K1064" i="8" s="1"/>
  <c r="J1424" i="8"/>
  <c r="K1424" i="8" s="1"/>
  <c r="J1769" i="8"/>
  <c r="K1769" i="8" s="1"/>
  <c r="J2213" i="8"/>
  <c r="K2213" i="8" s="1"/>
  <c r="J2413" i="8"/>
  <c r="K2413" i="8" s="1"/>
  <c r="J2613" i="8"/>
  <c r="K2613" i="8" s="1"/>
  <c r="J2784" i="8"/>
  <c r="K2784" i="8" s="1"/>
  <c r="J1066" i="8"/>
  <c r="K1066" i="8" s="1"/>
  <c r="J1428" i="8"/>
  <c r="K1428" i="8" s="1"/>
  <c r="J887" i="8"/>
  <c r="K887" i="8" s="1"/>
  <c r="J1314" i="8"/>
  <c r="K1314" i="8" s="1"/>
  <c r="J1657" i="8"/>
  <c r="K1657" i="8" s="1"/>
  <c r="J2161" i="8"/>
  <c r="K2161" i="8" s="1"/>
  <c r="J2341" i="8"/>
  <c r="K2341" i="8" s="1"/>
  <c r="J2560" i="8"/>
  <c r="K2560" i="8" s="1"/>
  <c r="J2732" i="8"/>
  <c r="K2732" i="8" s="1"/>
  <c r="J890" i="8"/>
  <c r="K890" i="8" s="1"/>
  <c r="J1315" i="8"/>
  <c r="K1315" i="8" s="1"/>
  <c r="J1658" i="8"/>
  <c r="K1658" i="8" s="1"/>
  <c r="J2162" i="8"/>
  <c r="K2162" i="8" s="1"/>
  <c r="J2345" i="8"/>
  <c r="K2345" i="8" s="1"/>
  <c r="J2561" i="8"/>
  <c r="K2561" i="8" s="1"/>
  <c r="J2733" i="8"/>
  <c r="K2733" i="8" s="1"/>
  <c r="J1110" i="8"/>
  <c r="K1110" i="8" s="1"/>
  <c r="J485" i="8"/>
  <c r="K485" i="8" s="1"/>
  <c r="J1733" i="8"/>
  <c r="K1733" i="8" s="1"/>
  <c r="J2328" i="8"/>
  <c r="K2328" i="8" s="1"/>
  <c r="J2665" i="8"/>
  <c r="K2665" i="8" s="1"/>
  <c r="J2903" i="8"/>
  <c r="K2903" i="8" s="1"/>
  <c r="J3057" i="8"/>
  <c r="K3057" i="8" s="1"/>
  <c r="J3230" i="8"/>
  <c r="K3230" i="8" s="1"/>
  <c r="J1340" i="8"/>
  <c r="K1340" i="8" s="1"/>
  <c r="J2173" i="8"/>
  <c r="K2173" i="8" s="1"/>
  <c r="J2520" i="8"/>
  <c r="K2520" i="8" s="1"/>
  <c r="J2813" i="8"/>
  <c r="K2813" i="8" s="1"/>
  <c r="J475" i="8"/>
  <c r="K475" i="8" s="1"/>
  <c r="J1333" i="8"/>
  <c r="K1333" i="8" s="1"/>
  <c r="J1207" i="8"/>
  <c r="K1207" i="8" s="1"/>
  <c r="J1003" i="8"/>
  <c r="K1003" i="8" s="1"/>
  <c r="J1196" i="8"/>
  <c r="K1196" i="8" s="1"/>
  <c r="J1360" i="8"/>
  <c r="K1360" i="8" s="1"/>
  <c r="J1530" i="8"/>
  <c r="K1530" i="8" s="1"/>
  <c r="J1698" i="8"/>
  <c r="K1698" i="8" s="1"/>
  <c r="J1895" i="8"/>
  <c r="K1895" i="8" s="1"/>
  <c r="J770" i="8"/>
  <c r="K770" i="8" s="1"/>
  <c r="J1057" i="8"/>
  <c r="K1057" i="8" s="1"/>
  <c r="J1221" i="8"/>
  <c r="K1221" i="8" s="1"/>
  <c r="J1391" i="8"/>
  <c r="K1391" i="8" s="1"/>
  <c r="J1561" i="8"/>
  <c r="K1561" i="8" s="1"/>
  <c r="J1742" i="8"/>
  <c r="K1742" i="8" s="1"/>
  <c r="J2040" i="8"/>
  <c r="K2040" i="8" s="1"/>
  <c r="J896" i="8"/>
  <c r="K896" i="8" s="1"/>
  <c r="J1091" i="8"/>
  <c r="K1091" i="8" s="1"/>
  <c r="J1252" i="8"/>
  <c r="K1252" i="8" s="1"/>
  <c r="J1422" i="8"/>
  <c r="K1422" i="8" s="1"/>
  <c r="J1591" i="8"/>
  <c r="K1591" i="8" s="1"/>
  <c r="J1768" i="8"/>
  <c r="K1768" i="8" s="1"/>
  <c r="J125" i="8"/>
  <c r="K125" i="8" s="1"/>
  <c r="J922" i="8"/>
  <c r="K922" i="8" s="1"/>
  <c r="J1116" i="8"/>
  <c r="K1116" i="8" s="1"/>
  <c r="J540" i="8"/>
  <c r="K540" i="8" s="1"/>
  <c r="J986" i="8"/>
  <c r="K986" i="8" s="1"/>
  <c r="J874" i="8"/>
  <c r="K874" i="8" s="1"/>
  <c r="J1074" i="8"/>
  <c r="K1074" i="8" s="1"/>
  <c r="J1242" i="8"/>
  <c r="K1242" i="8" s="1"/>
  <c r="J1411" i="8"/>
  <c r="K1411" i="8" s="1"/>
  <c r="J1579" i="8"/>
  <c r="K1579" i="8" s="1"/>
  <c r="J1759" i="8"/>
  <c r="K1759" i="8" s="1"/>
  <c r="J255" i="8"/>
  <c r="K255" i="8" s="1"/>
  <c r="J1244" i="8"/>
  <c r="K1244" i="8" s="1"/>
  <c r="J1581" i="8"/>
  <c r="K1581" i="8" s="1"/>
  <c r="J1096" i="8"/>
  <c r="K1096" i="8" s="1"/>
  <c r="J1444" i="8"/>
  <c r="K1444" i="8" s="1"/>
  <c r="J1787" i="8"/>
  <c r="K1787" i="8" s="1"/>
  <c r="J2223" i="8"/>
  <c r="K2223" i="8" s="1"/>
  <c r="J2428" i="8"/>
  <c r="K2428" i="8" s="1"/>
  <c r="J2627" i="8"/>
  <c r="K2627" i="8" s="1"/>
  <c r="J2795" i="8"/>
  <c r="K2795" i="8" s="1"/>
  <c r="J1097" i="8"/>
  <c r="K1097" i="8" s="1"/>
  <c r="J1445" i="8"/>
  <c r="K1445" i="8" s="1"/>
  <c r="J1788" i="8"/>
  <c r="K1788" i="8" s="1"/>
  <c r="J2227" i="8"/>
  <c r="K2227" i="8" s="1"/>
  <c r="J2429" i="8"/>
  <c r="K2429" i="8" s="1"/>
  <c r="J2628" i="8"/>
  <c r="K2628" i="8" s="1"/>
  <c r="J2797" i="8"/>
  <c r="K2797" i="8" s="1"/>
  <c r="J1098" i="8"/>
  <c r="K1098" i="8" s="1"/>
  <c r="J1451" i="8"/>
  <c r="K1451" i="8" s="1"/>
  <c r="J1795" i="8"/>
  <c r="K1795" i="8" s="1"/>
  <c r="J2229" i="8"/>
  <c r="K2229" i="8" s="1"/>
  <c r="J2430" i="8"/>
  <c r="K2430" i="8" s="1"/>
  <c r="J2629" i="8"/>
  <c r="K2629" i="8" s="1"/>
  <c r="J2798" i="8"/>
  <c r="K2798" i="8" s="1"/>
  <c r="J1107" i="8"/>
  <c r="K1107" i="8" s="1"/>
  <c r="J1454" i="8"/>
  <c r="K1454" i="8" s="1"/>
  <c r="J927" i="8"/>
  <c r="K927" i="8" s="1"/>
  <c r="J1343" i="8"/>
  <c r="K1343" i="8" s="1"/>
  <c r="J1681" i="8"/>
  <c r="K1681" i="8" s="1"/>
  <c r="J2175" i="8"/>
  <c r="K2175" i="8" s="1"/>
  <c r="J2358" i="8"/>
  <c r="K2358" i="8" s="1"/>
  <c r="J2574" i="8"/>
  <c r="K2574" i="8" s="1"/>
  <c r="J2744" i="8"/>
  <c r="K2744" i="8" s="1"/>
  <c r="J928" i="8"/>
  <c r="K928" i="8" s="1"/>
  <c r="J1344" i="8"/>
  <c r="K1344" i="8" s="1"/>
  <c r="J1682" i="8"/>
  <c r="K1682" i="8" s="1"/>
  <c r="J2176" i="8"/>
  <c r="K2176" i="8" s="1"/>
  <c r="J2359" i="8"/>
  <c r="K2359" i="8" s="1"/>
  <c r="J2575" i="8"/>
  <c r="K2575" i="8" s="1"/>
  <c r="J2748" i="8"/>
  <c r="K2748" i="8" s="1"/>
  <c r="J1186" i="8"/>
  <c r="K1186" i="8" s="1"/>
  <c r="J912" i="8"/>
  <c r="K912" i="8" s="1"/>
  <c r="J1775" i="8"/>
  <c r="K1775" i="8" s="1"/>
  <c r="J2352" i="8"/>
  <c r="K2352" i="8" s="1"/>
  <c r="J2691" i="8"/>
  <c r="K2691" i="8" s="1"/>
  <c r="J2916" i="8"/>
  <c r="K2916" i="8" s="1"/>
  <c r="J3069" i="8"/>
  <c r="K3069" i="8" s="1"/>
  <c r="J3243" i="8"/>
  <c r="K3243" i="8" s="1"/>
  <c r="J1409" i="8"/>
  <c r="K1409" i="8" s="1"/>
  <c r="J2196" i="8"/>
  <c r="K2196" i="8" s="1"/>
  <c r="J2550" i="8"/>
  <c r="K2550" i="8" s="1"/>
  <c r="J2836" i="8"/>
  <c r="K2836" i="8" s="1"/>
  <c r="J541" i="8"/>
  <c r="K541" i="8" s="1"/>
  <c r="J1402" i="8"/>
  <c r="K1402" i="8" s="1"/>
  <c r="J1276" i="8"/>
  <c r="K1276" i="8" s="1"/>
  <c r="J1028" i="8"/>
  <c r="K1028" i="8" s="1"/>
  <c r="J1208" i="8"/>
  <c r="K1208" i="8" s="1"/>
  <c r="J1375" i="8"/>
  <c r="K1375" i="8" s="1"/>
  <c r="J1547" i="8"/>
  <c r="K1547" i="8" s="1"/>
  <c r="J1729" i="8"/>
  <c r="K1729" i="8" s="1"/>
  <c r="J1981" i="8"/>
  <c r="K1981" i="8" s="1"/>
  <c r="J846" i="8"/>
  <c r="K846" i="8" s="1"/>
  <c r="J1070" i="8"/>
  <c r="K1070" i="8" s="1"/>
  <c r="J1235" i="8"/>
  <c r="K1235" i="8" s="1"/>
  <c r="J1406" i="8"/>
  <c r="K1406" i="8" s="1"/>
  <c r="J1575" i="8"/>
  <c r="K1575" i="8" s="1"/>
  <c r="J1755" i="8"/>
  <c r="K1755" i="8" s="1"/>
  <c r="K21" i="8"/>
  <c r="J908" i="8"/>
  <c r="K908" i="8" s="1"/>
  <c r="J1103" i="8"/>
  <c r="K1103" i="8" s="1"/>
  <c r="J1264" i="8"/>
  <c r="K1264" i="8" s="1"/>
  <c r="J1438" i="8"/>
  <c r="K1438" i="8" s="1"/>
  <c r="J1606" i="8"/>
  <c r="K1606" i="8" s="1"/>
  <c r="J1781" i="8"/>
  <c r="K1781" i="8" s="1"/>
  <c r="J211" i="8"/>
  <c r="K211" i="8" s="1"/>
  <c r="J934" i="8"/>
  <c r="K934" i="8" s="1"/>
  <c r="J1129" i="8"/>
  <c r="K1129" i="8" s="1"/>
  <c r="J624" i="8"/>
  <c r="K624" i="8" s="1"/>
  <c r="J1012" i="8"/>
  <c r="K1012" i="8" s="1"/>
  <c r="J899" i="8"/>
  <c r="K899" i="8" s="1"/>
  <c r="J1094" i="8"/>
  <c r="K1094" i="8" s="1"/>
  <c r="J1255" i="8"/>
  <c r="K1255" i="8" s="1"/>
  <c r="J1427" i="8"/>
  <c r="K1427" i="8" s="1"/>
  <c r="J1594" i="8"/>
  <c r="K1594" i="8" s="1"/>
  <c r="J1771" i="8"/>
  <c r="K1771" i="8" s="1"/>
  <c r="J500" i="8"/>
  <c r="K500" i="8" s="1"/>
  <c r="J1269" i="8"/>
  <c r="K1269" i="8" s="1"/>
  <c r="J1610" i="8"/>
  <c r="K1610" i="8" s="1"/>
  <c r="J1122" i="8"/>
  <c r="K1122" i="8" s="1"/>
  <c r="J1473" i="8"/>
  <c r="K1473" i="8" s="1"/>
  <c r="J1813" i="8"/>
  <c r="K1813" i="8" s="1"/>
  <c r="J2248" i="8"/>
  <c r="K2248" i="8" s="1"/>
  <c r="J2456" i="8"/>
  <c r="K2456" i="8" s="1"/>
  <c r="J2641" i="8"/>
  <c r="K2641" i="8" s="1"/>
  <c r="J2809" i="8"/>
  <c r="K2809" i="8" s="1"/>
  <c r="J1131" i="8"/>
  <c r="K1131" i="8" s="1"/>
  <c r="J1474" i="8"/>
  <c r="K1474" i="8" s="1"/>
  <c r="J1814" i="8"/>
  <c r="K1814" i="8" s="1"/>
  <c r="J2250" i="8"/>
  <c r="K2250" i="8" s="1"/>
  <c r="J2457" i="8"/>
  <c r="K2457" i="8" s="1"/>
  <c r="J2642" i="8"/>
  <c r="K2642" i="8" s="1"/>
  <c r="J2810" i="8"/>
  <c r="K2810" i="8" s="1"/>
  <c r="J1133" i="8"/>
  <c r="K1133" i="8" s="1"/>
  <c r="J1480" i="8"/>
  <c r="K1480" i="8" s="1"/>
  <c r="J1821" i="8"/>
  <c r="K1821" i="8" s="1"/>
  <c r="J2252" i="8"/>
  <c r="K2252" i="8" s="1"/>
  <c r="J2459" i="8"/>
  <c r="K2459" i="8" s="1"/>
  <c r="J2643" i="8"/>
  <c r="K2643" i="8" s="1"/>
  <c r="J2811" i="8"/>
  <c r="K2811" i="8" s="1"/>
  <c r="J1136" i="8"/>
  <c r="K1136" i="8" s="1"/>
  <c r="J1483" i="8"/>
  <c r="K1483" i="8" s="1"/>
  <c r="J964" i="8"/>
  <c r="K964" i="8" s="1"/>
  <c r="J1369" i="8"/>
  <c r="K1369" i="8" s="1"/>
  <c r="J1705" i="8"/>
  <c r="K1705" i="8" s="1"/>
  <c r="J2190" i="8"/>
  <c r="K2190" i="8" s="1"/>
  <c r="J2382" i="8"/>
  <c r="K2382" i="8" s="1"/>
  <c r="J2586" i="8"/>
  <c r="K2586" i="8" s="1"/>
  <c r="J2760" i="8"/>
  <c r="K2760" i="8" s="1"/>
  <c r="J965" i="8"/>
  <c r="K965" i="8" s="1"/>
  <c r="J1370" i="8"/>
  <c r="K1370" i="8" s="1"/>
  <c r="J1707" i="8"/>
  <c r="K1707" i="8" s="1"/>
  <c r="J2191" i="8"/>
  <c r="K2191" i="8" s="1"/>
  <c r="J2384" i="8"/>
  <c r="K2384" i="8" s="1"/>
  <c r="J2588" i="8"/>
  <c r="K2588" i="8" s="1"/>
  <c r="J2762" i="8"/>
  <c r="K2762" i="8" s="1"/>
  <c r="J1254" i="8"/>
  <c r="K1254" i="8" s="1"/>
  <c r="J1036" i="8"/>
  <c r="K1036" i="8" s="1"/>
  <c r="J1822" i="8"/>
  <c r="K1822" i="8" s="1"/>
  <c r="J2390" i="8"/>
  <c r="K2390" i="8" s="1"/>
  <c r="J2717" i="8"/>
  <c r="K2717" i="8" s="1"/>
  <c r="J2928" i="8"/>
  <c r="K2928" i="8" s="1"/>
  <c r="J3081" i="8"/>
  <c r="K3081" i="8" s="1"/>
  <c r="J3255" i="8"/>
  <c r="K3255" i="8" s="1"/>
  <c r="J1471" i="8"/>
  <c r="K1471" i="8" s="1"/>
  <c r="J2219" i="8"/>
  <c r="K2219" i="8" s="1"/>
  <c r="J2572" i="8"/>
  <c r="K2572" i="8" s="1"/>
  <c r="J2854" i="8"/>
  <c r="K2854" i="8" s="1"/>
  <c r="J638" i="8"/>
  <c r="K638" i="8" s="1"/>
  <c r="J1503" i="8"/>
  <c r="K1503" i="8" s="1"/>
  <c r="J1373" i="8"/>
  <c r="K1373" i="8" s="1"/>
  <c r="J1056" i="8"/>
  <c r="K1056" i="8" s="1"/>
  <c r="J1220" i="8"/>
  <c r="K1220" i="8" s="1"/>
  <c r="J1389" i="8"/>
  <c r="K1389" i="8" s="1"/>
  <c r="J1559" i="8"/>
  <c r="K1559" i="8" s="1"/>
  <c r="J1741" i="8"/>
  <c r="K1741" i="8" s="1"/>
  <c r="J2038" i="8"/>
  <c r="K2038" i="8" s="1"/>
  <c r="J895" i="8"/>
  <c r="K895" i="8" s="1"/>
  <c r="J1089" i="8"/>
  <c r="K1089" i="8" s="1"/>
  <c r="J1251" i="8"/>
  <c r="K1251" i="8" s="1"/>
  <c r="J1421" i="8"/>
  <c r="K1421" i="8" s="1"/>
  <c r="J1589" i="8"/>
  <c r="K1589" i="8" s="1"/>
  <c r="J1767" i="8"/>
  <c r="K1767" i="8" s="1"/>
  <c r="J112" i="8"/>
  <c r="K112" i="8" s="1"/>
  <c r="J921" i="8"/>
  <c r="K921" i="8" s="1"/>
  <c r="J1115" i="8"/>
  <c r="K1115" i="8" s="1"/>
  <c r="J1279" i="8"/>
  <c r="K1279" i="8" s="1"/>
  <c r="J1450" i="8"/>
  <c r="K1450" i="8" s="1"/>
  <c r="J1622" i="8"/>
  <c r="K1622" i="8" s="1"/>
  <c r="J1793" i="8"/>
  <c r="K1793" i="8" s="1"/>
  <c r="J299" i="8"/>
  <c r="K299" i="8" s="1"/>
  <c r="J946" i="8"/>
  <c r="K946" i="8" s="1"/>
  <c r="J1146" i="8"/>
  <c r="K1146" i="8" s="1"/>
  <c r="J702" i="8"/>
  <c r="K702" i="8" s="1"/>
  <c r="J54" i="8"/>
  <c r="K54" i="8" s="1"/>
  <c r="J911" i="8"/>
  <c r="K911" i="8" s="1"/>
  <c r="J1106" i="8"/>
  <c r="K1106" i="8" s="1"/>
  <c r="J1268" i="8"/>
  <c r="K1268" i="8" s="1"/>
  <c r="J1441" i="8"/>
  <c r="K1441" i="8" s="1"/>
  <c r="J1609" i="8"/>
  <c r="K1609" i="8" s="1"/>
  <c r="J1784" i="8"/>
  <c r="K1784" i="8" s="1"/>
  <c r="J743" i="8"/>
  <c r="K743" i="8" s="1"/>
  <c r="J1297" i="8"/>
  <c r="K1297" i="8" s="1"/>
  <c r="J1644" i="8"/>
  <c r="K1644" i="8" s="1"/>
  <c r="J1161" i="8"/>
  <c r="K1161" i="8" s="1"/>
  <c r="J1500" i="8"/>
  <c r="K1500" i="8" s="1"/>
  <c r="J1839" i="8"/>
  <c r="K1839" i="8" s="1"/>
  <c r="J2270" i="8"/>
  <c r="K2270" i="8" s="1"/>
  <c r="J2481" i="8"/>
  <c r="K2481" i="8" s="1"/>
  <c r="J2653" i="8"/>
  <c r="K2653" i="8" s="1"/>
  <c r="J2821" i="8"/>
  <c r="K2821" i="8" s="1"/>
  <c r="J1162" i="8"/>
  <c r="K1162" i="8" s="1"/>
  <c r="J1502" i="8"/>
  <c r="K1502" i="8" s="1"/>
  <c r="J1840" i="8"/>
  <c r="K1840" i="8" s="1"/>
  <c r="J2271" i="8"/>
  <c r="K2271" i="8" s="1"/>
  <c r="J2482" i="8"/>
  <c r="K2482" i="8" s="1"/>
  <c r="J2654" i="8"/>
  <c r="K2654" i="8" s="1"/>
  <c r="J2822" i="8"/>
  <c r="K2822" i="8" s="1"/>
  <c r="J1163" i="8"/>
  <c r="K1163" i="8" s="1"/>
  <c r="J1508" i="8"/>
  <c r="K1508" i="8" s="1"/>
  <c r="J1846" i="8"/>
  <c r="K1846" i="8" s="1"/>
  <c r="J2272" i="8"/>
  <c r="K2272" i="8" s="1"/>
  <c r="J2486" i="8"/>
  <c r="K2486" i="8" s="1"/>
  <c r="J2655" i="8"/>
  <c r="K2655" i="8" s="1"/>
  <c r="J2823" i="8"/>
  <c r="K2823" i="8" s="1"/>
  <c r="J1171" i="8"/>
  <c r="K1171" i="8" s="1"/>
  <c r="J1511" i="8"/>
  <c r="K1511" i="8" s="1"/>
  <c r="J1019" i="8"/>
  <c r="K1019" i="8" s="1"/>
  <c r="J1399" i="8"/>
  <c r="K1399" i="8" s="1"/>
  <c r="J1748" i="8"/>
  <c r="K1748" i="8" s="1"/>
  <c r="J2203" i="8"/>
  <c r="K2203" i="8" s="1"/>
  <c r="J2404" i="8"/>
  <c r="K2404" i="8" s="1"/>
  <c r="J2603" i="8"/>
  <c r="K2603" i="8" s="1"/>
  <c r="J2775" i="8"/>
  <c r="K2775" i="8" s="1"/>
  <c r="J1021" i="8"/>
  <c r="K1021" i="8" s="1"/>
  <c r="J1400" i="8"/>
  <c r="K1400" i="8" s="1"/>
  <c r="J1749" i="8"/>
  <c r="K1749" i="8" s="1"/>
  <c r="J2204" i="8"/>
  <c r="K2204" i="8" s="1"/>
  <c r="J2405" i="8"/>
  <c r="K2405" i="8" s="1"/>
  <c r="J2604" i="8"/>
  <c r="K2604" i="8" s="1"/>
  <c r="J2776" i="8"/>
  <c r="K2776" i="8" s="1"/>
  <c r="J1323" i="8"/>
  <c r="K1323" i="8" s="1"/>
  <c r="J1119" i="8"/>
  <c r="K1119" i="8" s="1"/>
  <c r="J1862" i="8"/>
  <c r="K1862" i="8" s="1"/>
  <c r="J2423" i="8"/>
  <c r="K2423" i="8" s="1"/>
  <c r="J2738" i="8"/>
  <c r="K2738" i="8" s="1"/>
  <c r="J2941" i="8"/>
  <c r="K2941" i="8" s="1"/>
  <c r="J3094" i="8"/>
  <c r="K3094" i="8" s="1"/>
  <c r="J3268" i="8"/>
  <c r="K3268" i="8" s="1"/>
  <c r="J1544" i="8"/>
  <c r="K1544" i="8" s="1"/>
  <c r="J2257" i="8"/>
  <c r="K2257" i="8" s="1"/>
  <c r="J2592" i="8"/>
  <c r="K2592" i="8" s="1"/>
  <c r="J2867" i="8"/>
  <c r="K2867" i="8" s="1"/>
  <c r="J703" i="8"/>
  <c r="K703" i="8" s="1"/>
  <c r="J1572" i="8"/>
  <c r="K1572" i="8" s="1"/>
  <c r="J1447" i="8"/>
  <c r="K1447" i="8" s="1"/>
  <c r="J1069" i="8"/>
  <c r="K1069" i="8" s="1"/>
  <c r="J1234" i="8"/>
  <c r="K1234" i="8" s="1"/>
  <c r="J1404" i="8"/>
  <c r="K1404" i="8" s="1"/>
  <c r="J1574" i="8"/>
  <c r="K1574" i="8" s="1"/>
  <c r="J1753" i="8"/>
  <c r="K1753" i="8" s="1"/>
  <c r="K20" i="8"/>
  <c r="J907" i="8"/>
  <c r="K907" i="8" s="1"/>
  <c r="J1102" i="8"/>
  <c r="K1102" i="8" s="1"/>
  <c r="J1263" i="8"/>
  <c r="K1263" i="8" s="1"/>
  <c r="J1437" i="8"/>
  <c r="K1437" i="8" s="1"/>
  <c r="J1604" i="8"/>
  <c r="K1604" i="8" s="1"/>
  <c r="J1780" i="8"/>
  <c r="K1780" i="8" s="1"/>
  <c r="J198" i="8"/>
  <c r="K198" i="8" s="1"/>
  <c r="J933" i="8"/>
  <c r="K933" i="8" s="1"/>
  <c r="J1128" i="8"/>
  <c r="K1128" i="8" s="1"/>
  <c r="J1292" i="8"/>
  <c r="K1292" i="8" s="1"/>
  <c r="J1464" i="8"/>
  <c r="K1464" i="8" s="1"/>
  <c r="J1637" i="8"/>
  <c r="K1637" i="8" s="1"/>
  <c r="J1807" i="8"/>
  <c r="K1807" i="8" s="1"/>
  <c r="J376" i="8"/>
  <c r="K376" i="8" s="1"/>
  <c r="J959" i="8"/>
  <c r="K959" i="8" s="1"/>
  <c r="J1158" i="8"/>
  <c r="K1158" i="8" s="1"/>
  <c r="J783" i="8"/>
  <c r="K783" i="8" s="1"/>
  <c r="J138" i="8"/>
  <c r="K138" i="8" s="1"/>
  <c r="J924" i="8"/>
  <c r="K924" i="8" s="1"/>
  <c r="J1118" i="8"/>
  <c r="K1118" i="8" s="1"/>
  <c r="J1282" i="8"/>
  <c r="K1282" i="8" s="1"/>
  <c r="J1453" i="8"/>
  <c r="K1453" i="8" s="1"/>
  <c r="J1626" i="8"/>
  <c r="K1626" i="8" s="1"/>
  <c r="J1798" i="8"/>
  <c r="K1798" i="8" s="1"/>
  <c r="J903" i="8"/>
  <c r="K903" i="8" s="1"/>
  <c r="J1327" i="8"/>
  <c r="K1327" i="8" s="1"/>
  <c r="J1668" i="8"/>
  <c r="K1668" i="8" s="1"/>
  <c r="J1192" i="8"/>
  <c r="K1192" i="8" s="1"/>
  <c r="J1525" i="8"/>
  <c r="K1525" i="8" s="1"/>
  <c r="J1864" i="8"/>
  <c r="K1864" i="8" s="1"/>
  <c r="J2282" i="8"/>
  <c r="K2282" i="8" s="1"/>
  <c r="J2496" i="8"/>
  <c r="K2496" i="8" s="1"/>
  <c r="J2667" i="8"/>
  <c r="K2667" i="8" s="1"/>
  <c r="J2837" i="8"/>
  <c r="K2837" i="8" s="1"/>
  <c r="J1193" i="8"/>
  <c r="K1193" i="8" s="1"/>
  <c r="J1526" i="8"/>
  <c r="K1526" i="8" s="1"/>
  <c r="J1865" i="8"/>
  <c r="K1865" i="8" s="1"/>
  <c r="J2283" i="8"/>
  <c r="K2283" i="8" s="1"/>
  <c r="J2497" i="8"/>
  <c r="K2497" i="8" s="1"/>
  <c r="J2668" i="8"/>
  <c r="K2668" i="8" s="1"/>
  <c r="J2838" i="8"/>
  <c r="K2838" i="8" s="1"/>
  <c r="J1199" i="8"/>
  <c r="K1199" i="8" s="1"/>
  <c r="J1536" i="8"/>
  <c r="K1536" i="8" s="1"/>
  <c r="J1933" i="8"/>
  <c r="K1933" i="8" s="1"/>
  <c r="J2284" i="8"/>
  <c r="K2284" i="8" s="1"/>
  <c r="J2498" i="8"/>
  <c r="K2498" i="8" s="1"/>
  <c r="J2669" i="8"/>
  <c r="K2669" i="8" s="1"/>
  <c r="J2839" i="8"/>
  <c r="K2839" i="8" s="1"/>
  <c r="J1202" i="8"/>
  <c r="K1202" i="8" s="1"/>
  <c r="J1540" i="8"/>
  <c r="K1540" i="8" s="1"/>
  <c r="J1073" i="8"/>
  <c r="K1073" i="8" s="1"/>
  <c r="J1429" i="8"/>
  <c r="K1429" i="8" s="1"/>
  <c r="J1773" i="8"/>
  <c r="K1773" i="8" s="1"/>
  <c r="J2216" i="8"/>
  <c r="K2216" i="8" s="1"/>
  <c r="J2421" i="8"/>
  <c r="K2421" i="8" s="1"/>
  <c r="J2616" i="8"/>
  <c r="K2616" i="8" s="1"/>
  <c r="J2788" i="8"/>
  <c r="K2788" i="8" s="1"/>
  <c r="J1075" i="8"/>
  <c r="K1075" i="8" s="1"/>
  <c r="J1431" i="8"/>
  <c r="K1431" i="8" s="1"/>
  <c r="J1774" i="8"/>
  <c r="K1774" i="8" s="1"/>
  <c r="J2217" i="8"/>
  <c r="K2217" i="8" s="1"/>
  <c r="J2422" i="8"/>
  <c r="K2422" i="8" s="1"/>
  <c r="J2617" i="8"/>
  <c r="K2617" i="8" s="1"/>
  <c r="J2789" i="8"/>
  <c r="K2789" i="8" s="1"/>
  <c r="J1384" i="8"/>
  <c r="K1384" i="8" s="1"/>
  <c r="J1200" i="8"/>
  <c r="K1200" i="8" s="1"/>
  <c r="J2124" i="8"/>
  <c r="K2124" i="8" s="1"/>
  <c r="J2461" i="8"/>
  <c r="K2461" i="8" s="1"/>
  <c r="J2765" i="8"/>
  <c r="K2765" i="8" s="1"/>
  <c r="J2953" i="8"/>
  <c r="K2953" i="8" s="1"/>
  <c r="J3110" i="8"/>
  <c r="K3110" i="8" s="1"/>
  <c r="J3282" i="8"/>
  <c r="K3282" i="8" s="1"/>
  <c r="J1608" i="8"/>
  <c r="K1608" i="8" s="1"/>
  <c r="J2281" i="8"/>
  <c r="K2281" i="8" s="1"/>
  <c r="J2619" i="8"/>
  <c r="K2619" i="8" s="1"/>
  <c r="J2879" i="8"/>
  <c r="K2879" i="8" s="1"/>
  <c r="J797" i="8"/>
  <c r="K797" i="8" s="1"/>
  <c r="J1672" i="8"/>
  <c r="K1672" i="8" s="1"/>
  <c r="J1546" i="8"/>
  <c r="K1546" i="8" s="1"/>
  <c r="J1087" i="8"/>
  <c r="K1087" i="8" s="1"/>
  <c r="J1250" i="8"/>
  <c r="K1250" i="8" s="1"/>
  <c r="J1420" i="8"/>
  <c r="K1420" i="8" s="1"/>
  <c r="J1588" i="8"/>
  <c r="K1588" i="8" s="1"/>
  <c r="J1766" i="8"/>
  <c r="K1766" i="8" s="1"/>
  <c r="J111" i="8"/>
  <c r="K111" i="8" s="1"/>
  <c r="J920" i="8"/>
  <c r="K920" i="8" s="1"/>
  <c r="J1114" i="8"/>
  <c r="K1114" i="8" s="1"/>
  <c r="J1278" i="8"/>
  <c r="K1278" i="8" s="1"/>
  <c r="J1449" i="8"/>
  <c r="K1449" i="8" s="1"/>
  <c r="J1621" i="8"/>
  <c r="K1621" i="8" s="1"/>
  <c r="J1792" i="8"/>
  <c r="K1792" i="8" s="1"/>
  <c r="J287" i="8"/>
  <c r="K287" i="8" s="1"/>
  <c r="J945" i="8"/>
  <c r="K945" i="8" s="1"/>
  <c r="J1145" i="8"/>
  <c r="K1145" i="8" s="1"/>
  <c r="J1307" i="8"/>
  <c r="K1307" i="8" s="1"/>
  <c r="J1479" i="8"/>
  <c r="K1479" i="8" s="1"/>
  <c r="J1652" i="8"/>
  <c r="K1652" i="8" s="1"/>
  <c r="J1820" i="8"/>
  <c r="K1820" i="8" s="1"/>
  <c r="J459" i="8"/>
  <c r="K459" i="8" s="1"/>
  <c r="J971" i="8"/>
  <c r="K971" i="8" s="1"/>
  <c r="J1170" i="8"/>
  <c r="K1170" i="8" s="1"/>
  <c r="J860" i="8"/>
  <c r="K860" i="8" s="1"/>
  <c r="J225" i="8"/>
  <c r="K225" i="8" s="1"/>
  <c r="J936" i="8"/>
  <c r="K936" i="8" s="1"/>
  <c r="J1132" i="8"/>
  <c r="K1132" i="8" s="1"/>
  <c r="J1296" i="8"/>
  <c r="K1296" i="8" s="1"/>
  <c r="J1468" i="8"/>
  <c r="K1468" i="8" s="1"/>
  <c r="J1643" i="8"/>
  <c r="K1643" i="8" s="1"/>
  <c r="J1810" i="8"/>
  <c r="K1810" i="8" s="1"/>
  <c r="J940" i="8"/>
  <c r="K940" i="8" s="1"/>
  <c r="J1354" i="8"/>
  <c r="K1354" i="8" s="1"/>
  <c r="J71" i="8"/>
  <c r="K71" i="8" s="1"/>
  <c r="J1216" i="8"/>
  <c r="K1216" i="8" s="1"/>
  <c r="J1555" i="8"/>
  <c r="K1555" i="8" s="1"/>
  <c r="J2003" i="8"/>
  <c r="K2003" i="8" s="1"/>
  <c r="J2294" i="8"/>
  <c r="K2294" i="8" s="1"/>
  <c r="J2508" i="8"/>
  <c r="K2508" i="8" s="1"/>
  <c r="J2683" i="8"/>
  <c r="K2683" i="8" s="1"/>
  <c r="J72" i="8"/>
  <c r="K72" i="8" s="1"/>
  <c r="J1217" i="8"/>
  <c r="K1217" i="8" s="1"/>
  <c r="J1556" i="8"/>
  <c r="K1556" i="8" s="1"/>
  <c r="J2027" i="8"/>
  <c r="K2027" i="8" s="1"/>
  <c r="J2295" i="8"/>
  <c r="K2295" i="8" s="1"/>
  <c r="J2509" i="8"/>
  <c r="K2509" i="8" s="1"/>
  <c r="J2684" i="8"/>
  <c r="K2684" i="8" s="1"/>
  <c r="J85" i="8"/>
  <c r="K85" i="8" s="1"/>
  <c r="J1223" i="8"/>
  <c r="K1223" i="8" s="1"/>
  <c r="J1564" i="8"/>
  <c r="K1564" i="8" s="1"/>
  <c r="J2073" i="8"/>
  <c r="K2073" i="8" s="1"/>
  <c r="J2296" i="8"/>
  <c r="K2296" i="8" s="1"/>
  <c r="J2510" i="8"/>
  <c r="K2510" i="8" s="1"/>
  <c r="J2685" i="8"/>
  <c r="K2685" i="8" s="1"/>
  <c r="J153" i="8"/>
  <c r="K153" i="8" s="1"/>
  <c r="J1227" i="8"/>
  <c r="K1227" i="8" s="1"/>
  <c r="J1568" i="8"/>
  <c r="K1568" i="8" s="1"/>
  <c r="J1108" i="8"/>
  <c r="K1108" i="8" s="1"/>
  <c r="J1455" i="8"/>
  <c r="K1455" i="8" s="1"/>
  <c r="J1800" i="8"/>
  <c r="K1800" i="8" s="1"/>
  <c r="J2236" i="8"/>
  <c r="K2236" i="8" s="1"/>
  <c r="J2440" i="8"/>
  <c r="K2440" i="8" s="1"/>
  <c r="J2633" i="8"/>
  <c r="K2633" i="8" s="1"/>
  <c r="J2801" i="8"/>
  <c r="K2801" i="8" s="1"/>
  <c r="J1109" i="8"/>
  <c r="K1109" i="8" s="1"/>
  <c r="J1456" i="8"/>
  <c r="K1456" i="8" s="1"/>
  <c r="J1801" i="8"/>
  <c r="K1801" i="8" s="1"/>
  <c r="J2238" i="8"/>
  <c r="K2238" i="8" s="1"/>
  <c r="J2441" i="8"/>
  <c r="K2441" i="8" s="1"/>
  <c r="J2634" i="8"/>
  <c r="K2634" i="8" s="1"/>
  <c r="J2802" i="8"/>
  <c r="K2802" i="8" s="1"/>
  <c r="J1457" i="8"/>
  <c r="K1457" i="8" s="1"/>
  <c r="J1265" i="8"/>
  <c r="K1265" i="8" s="1"/>
  <c r="J2144" i="8"/>
  <c r="K2144" i="8" s="1"/>
  <c r="J2494" i="8"/>
  <c r="K2494" i="8" s="1"/>
  <c r="J2790" i="8"/>
  <c r="K2790" i="8" s="1"/>
  <c r="J2967" i="8"/>
  <c r="K2967" i="8" s="1"/>
  <c r="J3130" i="8"/>
  <c r="K3130" i="8" s="1"/>
  <c r="J3296" i="8"/>
  <c r="K3296" i="8" s="1"/>
  <c r="J1678" i="8"/>
  <c r="K1678" i="8" s="1"/>
  <c r="J2308" i="8"/>
  <c r="K2308" i="8" s="1"/>
  <c r="J2645" i="8"/>
  <c r="K2645" i="8" s="1"/>
  <c r="J2892" i="8"/>
  <c r="K2892" i="8" s="1"/>
  <c r="J861" i="8"/>
  <c r="K861" i="8" s="1"/>
  <c r="J1751" i="8"/>
  <c r="K1751" i="8" s="1"/>
  <c r="J1619" i="8"/>
  <c r="K1619" i="8" s="1"/>
  <c r="J1101" i="8"/>
  <c r="K1101" i="8" s="1"/>
  <c r="J1262" i="8"/>
  <c r="K1262" i="8" s="1"/>
  <c r="J1436" i="8"/>
  <c r="K1436" i="8" s="1"/>
  <c r="J1603" i="8"/>
  <c r="K1603" i="8" s="1"/>
  <c r="J1779" i="8"/>
  <c r="K1779" i="8" s="1"/>
  <c r="J197" i="8"/>
  <c r="K197" i="8" s="1"/>
  <c r="J932" i="8"/>
  <c r="K932" i="8" s="1"/>
  <c r="J1127" i="8"/>
  <c r="K1127" i="8" s="1"/>
  <c r="J1291" i="8"/>
  <c r="K1291" i="8" s="1"/>
  <c r="J1462" i="8"/>
  <c r="K1462" i="8" s="1"/>
  <c r="J1636" i="8"/>
  <c r="K1636" i="8" s="1"/>
  <c r="J1806" i="8"/>
  <c r="K1806" i="8" s="1"/>
  <c r="J363" i="8"/>
  <c r="K363" i="8" s="1"/>
  <c r="J958" i="8"/>
  <c r="K958" i="8" s="1"/>
  <c r="J1157" i="8"/>
  <c r="K1157" i="8" s="1"/>
  <c r="J1322" i="8"/>
  <c r="K1322" i="8" s="1"/>
  <c r="J1493" i="8"/>
  <c r="K1493" i="8" s="1"/>
  <c r="J1664" i="8"/>
  <c r="K1664" i="8" s="1"/>
  <c r="J1832" i="8"/>
  <c r="K1832" i="8" s="1"/>
  <c r="J539" i="8"/>
  <c r="K539" i="8" s="1"/>
  <c r="J985" i="8"/>
  <c r="K985" i="8" s="1"/>
  <c r="J1184" i="8"/>
  <c r="K1184" i="8" s="1"/>
  <c r="J898" i="8"/>
  <c r="K898" i="8" s="1"/>
  <c r="J311" i="8"/>
  <c r="K311" i="8" s="1"/>
  <c r="J948" i="8"/>
  <c r="K948" i="8" s="1"/>
  <c r="J1148" i="8"/>
  <c r="K1148" i="8" s="1"/>
  <c r="J1311" i="8"/>
  <c r="K1311" i="8" s="1"/>
  <c r="J1482" i="8"/>
  <c r="K1482" i="8" s="1"/>
  <c r="J1655" i="8"/>
  <c r="K1655" i="8" s="1"/>
  <c r="J1823" i="8"/>
  <c r="K1823" i="8" s="1"/>
  <c r="J979" i="8"/>
  <c r="K979" i="8" s="1"/>
  <c r="J1383" i="8"/>
  <c r="K1383" i="8" s="1"/>
  <c r="J324" i="8"/>
  <c r="K324" i="8" s="1"/>
  <c r="J1246" i="8"/>
  <c r="K1246" i="8" s="1"/>
  <c r="J1584" i="8"/>
  <c r="K1584" i="8" s="1"/>
  <c r="J2128" i="8"/>
  <c r="K2128" i="8" s="1"/>
  <c r="J2311" i="8"/>
  <c r="K2311" i="8" s="1"/>
  <c r="J2524" i="8"/>
  <c r="K2524" i="8" s="1"/>
  <c r="J2696" i="8"/>
  <c r="K2696" i="8" s="1"/>
  <c r="J325" i="8"/>
  <c r="K325" i="8" s="1"/>
  <c r="J1247" i="8"/>
  <c r="K1247" i="8" s="1"/>
  <c r="J1585" i="8"/>
  <c r="K1585" i="8" s="1"/>
  <c r="J2129" i="8"/>
  <c r="K2129" i="8" s="1"/>
  <c r="J2312" i="8"/>
  <c r="K2312" i="8" s="1"/>
  <c r="J2525" i="8"/>
  <c r="K2525" i="8" s="1"/>
  <c r="J2697" i="8"/>
  <c r="K2697" i="8" s="1"/>
  <c r="J337" i="8"/>
  <c r="K337" i="8" s="1"/>
  <c r="J1253" i="8"/>
  <c r="K1253" i="8" s="1"/>
  <c r="J1592" i="8"/>
  <c r="K1592" i="8" s="1"/>
  <c r="J2130" i="8"/>
  <c r="K2130" i="8" s="1"/>
  <c r="J2313" i="8"/>
  <c r="K2313" i="8" s="1"/>
  <c r="J2526" i="8"/>
  <c r="K2526" i="8" s="1"/>
  <c r="J2698" i="8"/>
  <c r="K2698" i="8" s="1"/>
  <c r="J402" i="8"/>
  <c r="K402" i="8" s="1"/>
  <c r="J1256" i="8"/>
  <c r="K1256" i="8" s="1"/>
  <c r="J1595" i="8"/>
  <c r="K1595" i="8" s="1"/>
  <c r="J1138" i="8"/>
  <c r="K1138" i="8" s="1"/>
  <c r="J1484" i="8"/>
  <c r="K1484" i="8" s="1"/>
  <c r="J1825" i="8"/>
  <c r="K1825" i="8" s="1"/>
  <c r="J2259" i="8"/>
  <c r="K2259" i="8" s="1"/>
  <c r="J2469" i="8"/>
  <c r="K2469" i="8" s="1"/>
  <c r="J2646" i="8"/>
  <c r="K2646" i="8" s="1"/>
  <c r="J2814" i="8"/>
  <c r="K2814" i="8" s="1"/>
  <c r="J1147" i="8"/>
  <c r="K1147" i="8" s="1"/>
  <c r="J1485" i="8"/>
  <c r="K1485" i="8" s="1"/>
  <c r="J1826" i="8"/>
  <c r="K1826" i="8" s="1"/>
  <c r="J2260" i="8"/>
  <c r="K2260" i="8" s="1"/>
  <c r="J2470" i="8"/>
  <c r="K2470" i="8" s="1"/>
  <c r="J2647" i="8"/>
  <c r="K2647" i="8" s="1"/>
  <c r="J2815" i="8"/>
  <c r="K2815" i="8" s="1"/>
  <c r="J1521" i="8"/>
  <c r="K1521" i="8" s="1"/>
  <c r="J1329" i="8"/>
  <c r="K1329" i="8" s="1"/>
  <c r="J2167" i="8"/>
  <c r="K2167" i="8" s="1"/>
  <c r="J2519" i="8"/>
  <c r="K2519" i="8" s="1"/>
  <c r="J2812" i="8"/>
  <c r="K2812" i="8" s="1"/>
  <c r="J2980" i="8"/>
  <c r="K2980" i="8" s="1"/>
  <c r="J3144" i="8"/>
  <c r="K3144" i="8" s="1"/>
  <c r="J486" i="8"/>
  <c r="K486" i="8" s="1"/>
  <c r="J1735" i="8"/>
  <c r="K1735" i="8" s="1"/>
  <c r="J2331" i="8"/>
  <c r="K2331" i="8" s="1"/>
  <c r="J2666" i="8"/>
  <c r="K2666" i="8" s="1"/>
  <c r="J2904" i="8"/>
  <c r="K2904" i="8" s="1"/>
  <c r="J416" i="8"/>
  <c r="K416" i="8" s="1"/>
  <c r="J1841" i="8"/>
  <c r="K1841" i="8" s="1"/>
  <c r="J1724" i="8"/>
  <c r="K1724" i="8" s="1"/>
  <c r="J1113" i="8"/>
  <c r="K1113" i="8" s="1"/>
  <c r="J1277" i="8"/>
  <c r="K1277" i="8" s="1"/>
  <c r="J1448" i="8"/>
  <c r="K1448" i="8" s="1"/>
  <c r="J1620" i="8"/>
  <c r="K1620" i="8" s="1"/>
  <c r="J1791" i="8"/>
  <c r="K1791" i="8" s="1"/>
  <c r="J286" i="8"/>
  <c r="K286" i="8" s="1"/>
  <c r="J944" i="8"/>
  <c r="K944" i="8" s="1"/>
  <c r="J1144" i="8"/>
  <c r="K1144" i="8" s="1"/>
  <c r="J1305" i="8"/>
  <c r="K1305" i="8" s="1"/>
  <c r="J1478" i="8"/>
  <c r="K1478" i="8" s="1"/>
  <c r="J1651" i="8"/>
  <c r="K1651" i="8" s="1"/>
  <c r="J1818" i="8"/>
  <c r="K1818" i="8" s="1"/>
  <c r="J446" i="8"/>
  <c r="K446" i="8" s="1"/>
  <c r="J970" i="8"/>
  <c r="K970" i="8" s="1"/>
  <c r="J1169" i="8"/>
  <c r="K1169" i="8" s="1"/>
  <c r="J1338" i="8"/>
  <c r="K1338" i="8" s="1"/>
  <c r="J1507" i="8"/>
  <c r="K1507" i="8" s="1"/>
  <c r="J1676" i="8"/>
  <c r="K1676" i="8" s="1"/>
  <c r="J1845" i="8"/>
  <c r="K1845" i="8" s="1"/>
  <c r="J623" i="8"/>
  <c r="K623" i="8" s="1"/>
  <c r="J1010" i="8"/>
  <c r="K1010" i="8" s="1"/>
  <c r="J39" i="8"/>
  <c r="K39" i="8" s="1"/>
  <c r="J910" i="8"/>
  <c r="K910" i="8" s="1"/>
  <c r="J389" i="8"/>
  <c r="K389" i="8" s="1"/>
  <c r="J961" i="8"/>
  <c r="K961" i="8" s="1"/>
  <c r="J1160" i="8"/>
  <c r="K1160" i="8" s="1"/>
  <c r="J1326" i="8"/>
  <c r="K1326" i="8" s="1"/>
  <c r="J1497" i="8"/>
  <c r="K1497" i="8" s="1"/>
  <c r="J1667" i="8"/>
  <c r="K1667" i="8" s="1"/>
  <c r="J1836" i="8"/>
  <c r="K1836" i="8" s="1"/>
  <c r="J1048" i="8"/>
  <c r="K1048" i="8" s="1"/>
  <c r="J1413" i="8"/>
  <c r="K1413" i="8" s="1"/>
  <c r="J567" i="8"/>
  <c r="K567" i="8" s="1"/>
  <c r="J1272" i="8"/>
  <c r="K1272" i="8" s="1"/>
  <c r="J1616" i="8"/>
  <c r="K1616" i="8" s="1"/>
  <c r="J2140" i="8"/>
  <c r="K2140" i="8" s="1"/>
  <c r="J2324" i="8"/>
  <c r="K2324" i="8" s="1"/>
  <c r="J2543" i="8"/>
  <c r="K2543" i="8" s="1"/>
  <c r="J2711" i="8"/>
  <c r="K2711" i="8" s="1"/>
  <c r="J569" i="8"/>
  <c r="K569" i="8" s="1"/>
  <c r="J1273" i="8"/>
  <c r="K1273" i="8" s="1"/>
  <c r="J1617" i="8"/>
  <c r="K1617" i="8" s="1"/>
  <c r="J2141" i="8"/>
  <c r="K2141" i="8" s="1"/>
  <c r="J2325" i="8"/>
  <c r="K2325" i="8" s="1"/>
  <c r="J2544" i="8"/>
  <c r="K2544" i="8" s="1"/>
  <c r="J2714" i="8"/>
  <c r="K2714" i="8" s="1"/>
  <c r="J581" i="8"/>
  <c r="K581" i="8" s="1"/>
  <c r="J1280" i="8"/>
  <c r="K1280" i="8" s="1"/>
  <c r="J1623" i="8"/>
  <c r="K1623" i="8" s="1"/>
  <c r="J2142" i="8"/>
  <c r="K2142" i="8" s="1"/>
  <c r="J2326" i="8"/>
  <c r="K2326" i="8" s="1"/>
  <c r="J2545" i="8"/>
  <c r="K2545" i="8" s="1"/>
  <c r="J2715" i="8"/>
  <c r="K2715" i="8" s="1"/>
  <c r="J648" i="8"/>
  <c r="K648" i="8" s="1"/>
  <c r="J1283" i="8"/>
  <c r="K1283" i="8" s="1"/>
  <c r="J1627" i="8"/>
  <c r="K1627" i="8" s="1"/>
  <c r="J1173" i="8"/>
  <c r="K1173" i="8" s="1"/>
  <c r="J1512" i="8"/>
  <c r="K1512" i="8" s="1"/>
  <c r="J1851" i="8"/>
  <c r="K1851" i="8" s="1"/>
  <c r="J2275" i="8"/>
  <c r="K2275" i="8" s="1"/>
  <c r="J2489" i="8"/>
  <c r="K2489" i="8" s="1"/>
  <c r="J2658" i="8"/>
  <c r="K2658" i="8" s="1"/>
  <c r="J2830" i="8"/>
  <c r="K2830" i="8" s="1"/>
  <c r="J1174" i="8"/>
  <c r="K1174" i="8" s="1"/>
  <c r="J1513" i="8"/>
  <c r="K1513" i="8" s="1"/>
  <c r="J1852" i="8"/>
  <c r="K1852" i="8" s="1"/>
  <c r="J2276" i="8"/>
  <c r="K2276" i="8" s="1"/>
  <c r="J2490" i="8"/>
  <c r="K2490" i="8" s="1"/>
  <c r="J2661" i="8"/>
  <c r="K2661" i="8" s="1"/>
  <c r="J2831" i="8"/>
  <c r="K2831" i="8" s="1"/>
  <c r="J1593" i="8"/>
  <c r="K1593" i="8" s="1"/>
  <c r="J1401" i="8"/>
  <c r="K1401" i="8" s="1"/>
  <c r="J2195" i="8"/>
  <c r="K2195" i="8" s="1"/>
  <c r="J2547" i="8"/>
  <c r="K2547" i="8" s="1"/>
  <c r="J2835" i="8"/>
  <c r="K2835" i="8" s="1"/>
  <c r="J2992" i="8"/>
  <c r="K2992" i="8" s="1"/>
  <c r="J3159" i="8"/>
  <c r="K3159" i="8" s="1"/>
  <c r="J925" i="8"/>
  <c r="K925" i="8" s="1"/>
  <c r="J1782" i="8"/>
  <c r="K1782" i="8" s="1"/>
  <c r="J2356" i="8"/>
  <c r="K2356" i="8" s="1"/>
  <c r="J2692" i="8"/>
  <c r="K2692" i="8" s="1"/>
  <c r="J2917" i="8"/>
  <c r="K2917" i="8" s="1"/>
  <c r="J821" i="8"/>
  <c r="K821" i="8" s="1"/>
  <c r="J98" i="8"/>
  <c r="K98" i="8" s="1"/>
  <c r="J1790" i="8"/>
  <c r="K1790" i="8" s="1"/>
  <c r="J1126" i="8"/>
  <c r="K1126" i="8" s="1"/>
  <c r="J1289" i="8"/>
  <c r="K1289" i="8" s="1"/>
  <c r="J1461" i="8"/>
  <c r="K1461" i="8" s="1"/>
  <c r="J1634" i="8"/>
  <c r="K1634" i="8" s="1"/>
  <c r="J1805" i="8"/>
  <c r="K1805" i="8" s="1"/>
  <c r="J362" i="8"/>
  <c r="K362" i="8" s="1"/>
  <c r="J957" i="8"/>
  <c r="K957" i="8" s="1"/>
  <c r="J1156" i="8"/>
  <c r="K1156" i="8" s="1"/>
  <c r="J1321" i="8"/>
  <c r="K1321" i="8" s="1"/>
  <c r="J1492" i="8"/>
  <c r="K1492" i="8" s="1"/>
  <c r="J1663" i="8"/>
  <c r="K1663" i="8" s="1"/>
  <c r="J1831" i="8"/>
  <c r="K1831" i="8" s="1"/>
  <c r="J527" i="8"/>
  <c r="K527" i="8" s="1"/>
  <c r="J984" i="8"/>
  <c r="K984" i="8" s="1"/>
  <c r="J1182" i="8"/>
  <c r="K1182" i="8" s="1"/>
  <c r="J1350" i="8"/>
  <c r="K1350" i="8" s="1"/>
  <c r="J1519" i="8"/>
  <c r="K1519" i="8" s="1"/>
  <c r="J1688" i="8"/>
  <c r="K1688" i="8" s="1"/>
  <c r="J1858" i="8"/>
  <c r="K1858" i="8" s="1"/>
  <c r="J700" i="8"/>
  <c r="K700" i="8" s="1"/>
  <c r="J1034" i="8"/>
  <c r="K1034" i="8" s="1"/>
  <c r="J126" i="8"/>
  <c r="K126" i="8" s="1"/>
  <c r="J923" i="8"/>
  <c r="K923" i="8" s="1"/>
  <c r="J473" i="8"/>
  <c r="K473" i="8" s="1"/>
  <c r="J974" i="8"/>
  <c r="K974" i="8" s="1"/>
  <c r="J1172" i="8"/>
  <c r="K1172" i="8" s="1"/>
  <c r="J1341" i="8"/>
  <c r="K1341" i="8" s="1"/>
  <c r="J1510" i="8"/>
  <c r="K1510" i="8" s="1"/>
  <c r="J1679" i="8"/>
  <c r="K1679" i="8" s="1"/>
  <c r="J1849" i="8"/>
  <c r="K1849" i="8" s="1"/>
  <c r="J1093" i="8"/>
  <c r="K1093" i="8" s="1"/>
  <c r="J1442" i="8"/>
  <c r="K1442" i="8" s="1"/>
  <c r="J807" i="8"/>
  <c r="K807" i="8" s="1"/>
  <c r="J1300" i="8"/>
  <c r="K1300" i="8" s="1"/>
  <c r="J1646" i="8"/>
  <c r="K1646" i="8" s="1"/>
  <c r="J2155" i="8"/>
  <c r="K2155" i="8" s="1"/>
  <c r="J2336" i="8"/>
  <c r="K2336" i="8" s="1"/>
  <c r="J2555" i="8"/>
  <c r="K2555" i="8" s="1"/>
  <c r="J2726" i="8"/>
  <c r="K2726" i="8" s="1"/>
  <c r="J808" i="8"/>
  <c r="K808" i="8" s="1"/>
  <c r="J1301" i="8"/>
  <c r="K1301" i="8" s="1"/>
  <c r="J1647" i="8"/>
  <c r="K1647" i="8" s="1"/>
  <c r="J2156" i="8"/>
  <c r="K2156" i="8" s="1"/>
  <c r="J2337" i="8"/>
  <c r="K2337" i="8" s="1"/>
  <c r="J2556" i="8"/>
  <c r="K2556" i="8" s="1"/>
  <c r="J2727" i="8"/>
  <c r="K2727" i="8" s="1"/>
  <c r="J820" i="8"/>
  <c r="K820" i="8" s="1"/>
  <c r="J1308" i="8"/>
  <c r="K1308" i="8" s="1"/>
  <c r="J1653" i="8"/>
  <c r="K1653" i="8" s="1"/>
  <c r="J2157" i="8"/>
  <c r="K2157" i="8" s="1"/>
  <c r="J2338" i="8"/>
  <c r="K2338" i="8" s="1"/>
  <c r="J2557" i="8"/>
  <c r="K2557" i="8" s="1"/>
  <c r="J2728" i="8"/>
  <c r="K2728" i="8" s="1"/>
  <c r="J886" i="8"/>
  <c r="K886" i="8" s="1"/>
  <c r="J1312" i="8"/>
  <c r="K1312" i="8" s="1"/>
  <c r="J1656" i="8"/>
  <c r="K1656" i="8" s="1"/>
  <c r="J1203" i="8"/>
  <c r="K1203" i="8" s="1"/>
  <c r="J1541" i="8"/>
  <c r="K1541" i="8" s="1"/>
  <c r="J1963" i="8"/>
  <c r="K1963" i="8" s="1"/>
  <c r="J2287" i="8"/>
  <c r="K2287" i="8" s="1"/>
  <c r="J2501" i="8"/>
  <c r="K2501" i="8" s="1"/>
  <c r="J2672" i="8"/>
  <c r="K2672" i="8" s="1"/>
  <c r="J2842" i="8"/>
  <c r="K2842" i="8" s="1"/>
  <c r="J1204" i="8"/>
  <c r="K1204" i="8" s="1"/>
  <c r="J1542" i="8"/>
  <c r="K1542" i="8" s="1"/>
  <c r="J1969" i="8"/>
  <c r="K1969" i="8" s="1"/>
  <c r="J2288" i="8"/>
  <c r="K2288" i="8" s="1"/>
  <c r="J2502" i="8"/>
  <c r="K2502" i="8" s="1"/>
  <c r="J2673" i="8"/>
  <c r="K2673" i="8" s="1"/>
  <c r="J2843" i="8"/>
  <c r="K2843" i="8" s="1"/>
  <c r="J1665" i="8"/>
  <c r="K1665" i="8" s="1"/>
  <c r="J1467" i="8"/>
  <c r="K1467" i="8" s="1"/>
  <c r="J2218" i="8"/>
  <c r="K2218" i="8" s="1"/>
  <c r="J2568" i="8"/>
  <c r="K2568" i="8" s="1"/>
  <c r="J2853" i="8"/>
  <c r="K2853" i="8" s="1"/>
  <c r="J3006" i="8"/>
  <c r="K3006" i="8" s="1"/>
  <c r="J3177" i="8"/>
  <c r="K3177" i="8" s="1"/>
  <c r="J1044" i="8"/>
  <c r="K1044" i="8" s="1"/>
  <c r="J1824" i="8"/>
  <c r="K1824" i="8" s="1"/>
  <c r="J2392" i="8"/>
  <c r="K2392" i="8" s="1"/>
  <c r="J2721" i="8"/>
  <c r="K2721" i="8" s="1"/>
  <c r="J2929" i="8"/>
  <c r="K2929" i="8" s="1"/>
  <c r="J966" i="8"/>
  <c r="K966" i="8" s="1"/>
  <c r="J674" i="8"/>
  <c r="K674" i="8" s="1"/>
  <c r="J1976" i="8"/>
  <c r="K1976" i="8" s="1"/>
  <c r="J1143" i="8"/>
  <c r="K1143" i="8" s="1"/>
  <c r="J1304" i="8"/>
  <c r="K1304" i="8" s="1"/>
  <c r="J1477" i="8"/>
  <c r="K1477" i="8" s="1"/>
  <c r="J1650" i="8"/>
  <c r="K1650" i="8" s="1"/>
  <c r="J1817" i="8"/>
  <c r="K1817" i="8" s="1"/>
  <c r="J445" i="8"/>
  <c r="K445" i="8" s="1"/>
  <c r="J969" i="8"/>
  <c r="K969" i="8" s="1"/>
  <c r="J1168" i="8"/>
  <c r="K1168" i="8" s="1"/>
  <c r="J1337" i="8"/>
  <c r="K1337" i="8" s="1"/>
  <c r="J1506" i="8"/>
  <c r="K1506" i="8" s="1"/>
  <c r="J1675" i="8"/>
  <c r="K1675" i="8" s="1"/>
  <c r="J1844" i="8"/>
  <c r="K1844" i="8" s="1"/>
  <c r="J609" i="8"/>
  <c r="K609" i="8" s="1"/>
  <c r="J1008" i="8"/>
  <c r="K1008" i="8" s="1"/>
  <c r="J1198" i="8"/>
  <c r="K1198" i="8" s="1"/>
  <c r="J1362" i="8"/>
  <c r="K1362" i="8" s="1"/>
  <c r="J1533" i="8"/>
  <c r="K1533" i="8" s="1"/>
  <c r="J1700" i="8"/>
  <c r="K1700" i="8" s="1"/>
  <c r="J1925" i="8"/>
  <c r="K1925" i="8" s="1"/>
  <c r="J782" i="8"/>
  <c r="K782" i="8" s="1"/>
  <c r="J1059" i="8"/>
  <c r="K1059" i="8" s="1"/>
  <c r="J212" i="8"/>
  <c r="K212" i="8" s="1"/>
  <c r="J935" i="8"/>
  <c r="K935" i="8" s="1"/>
  <c r="J551" i="8"/>
  <c r="K551" i="8" s="1"/>
  <c r="J987" i="8"/>
  <c r="K987" i="8" s="1"/>
  <c r="J1188" i="8"/>
  <c r="K1188" i="8" s="1"/>
  <c r="J1353" i="8"/>
  <c r="K1353" i="8" s="1"/>
  <c r="J1522" i="8"/>
  <c r="K1522" i="8" s="1"/>
  <c r="J1691" i="8"/>
  <c r="K1691" i="8" s="1"/>
  <c r="J1861" i="8"/>
  <c r="K1861" i="8" s="1"/>
  <c r="J1120" i="8"/>
  <c r="K1120" i="8" s="1"/>
  <c r="J1470" i="8"/>
  <c r="K1470" i="8" s="1"/>
  <c r="J913" i="8"/>
  <c r="K913" i="8" s="1"/>
  <c r="J1330" i="8"/>
  <c r="K1330" i="8" s="1"/>
  <c r="J1670" i="8"/>
  <c r="K1670" i="8" s="1"/>
  <c r="J2170" i="8"/>
  <c r="K2170" i="8" s="1"/>
  <c r="J2353" i="8"/>
  <c r="K2353" i="8" s="1"/>
  <c r="J2569" i="8"/>
  <c r="K2569" i="8" s="1"/>
  <c r="J2739" i="8"/>
  <c r="K2739" i="8" s="1"/>
  <c r="J914" i="8"/>
  <c r="K914" i="8" s="1"/>
  <c r="J1331" i="8"/>
  <c r="K1331" i="8" s="1"/>
  <c r="J1671" i="8"/>
  <c r="K1671" i="8" s="1"/>
  <c r="J2171" i="8"/>
  <c r="K2171" i="8" s="1"/>
  <c r="J2354" i="8"/>
  <c r="K2354" i="8" s="1"/>
  <c r="J2570" i="8"/>
  <c r="K2570" i="8" s="1"/>
  <c r="J2740" i="8"/>
  <c r="K2740" i="8" s="1"/>
  <c r="J915" i="8"/>
  <c r="K915" i="8" s="1"/>
  <c r="J1339" i="8"/>
  <c r="K1339" i="8" s="1"/>
  <c r="J1677" i="8"/>
  <c r="K1677" i="8" s="1"/>
  <c r="J2172" i="8"/>
  <c r="K2172" i="8" s="1"/>
  <c r="J2355" i="8"/>
  <c r="K2355" i="8" s="1"/>
  <c r="J2571" i="8"/>
  <c r="K2571" i="8" s="1"/>
  <c r="J2741" i="8"/>
  <c r="K2741" i="8" s="1"/>
  <c r="J1570" i="8"/>
  <c r="K1570" i="8" s="1"/>
  <c r="J3192" i="8"/>
  <c r="K3192" i="8" s="1"/>
  <c r="J3045" i="8"/>
  <c r="K3045" i="8" s="1"/>
  <c r="J3219" i="8"/>
  <c r="K3219" i="8" s="1"/>
  <c r="J1270" i="8"/>
  <c r="K1270" i="8" s="1"/>
  <c r="J2151" i="8"/>
  <c r="K2151" i="8" s="1"/>
  <c r="J2499" i="8"/>
  <c r="K2499" i="8" s="1"/>
  <c r="J2792" i="8"/>
  <c r="K2792" i="8" s="1"/>
  <c r="J2969" i="8"/>
  <c r="K2969" i="8" s="1"/>
  <c r="J3132" i="8"/>
  <c r="K3132" i="8" s="1"/>
  <c r="J3298" i="8"/>
  <c r="K3298" i="8" s="1"/>
  <c r="J1631" i="8"/>
  <c r="K1631" i="8" s="1"/>
  <c r="J2289" i="8"/>
  <c r="K2289" i="8" s="1"/>
  <c r="J2626" i="8"/>
  <c r="K2626" i="8" s="1"/>
  <c r="J2882" i="8"/>
  <c r="K2882" i="8" s="1"/>
  <c r="J3035" i="8"/>
  <c r="K3035" i="8" s="1"/>
  <c r="J3209" i="8"/>
  <c r="K3209" i="8" s="1"/>
  <c r="J3367" i="8"/>
  <c r="K3367" i="8" s="1"/>
  <c r="J1565" i="8"/>
  <c r="K1565" i="8" s="1"/>
  <c r="J1380" i="8"/>
  <c r="K1380" i="8" s="1"/>
  <c r="J2189" i="8"/>
  <c r="K2189" i="8" s="1"/>
  <c r="J2537" i="8"/>
  <c r="K2537" i="8" s="1"/>
  <c r="J2832" i="8"/>
  <c r="K2832" i="8" s="1"/>
  <c r="J2989" i="8"/>
  <c r="K2989" i="8" s="1"/>
  <c r="J3155" i="8"/>
  <c r="K3155" i="8" s="1"/>
  <c r="J3319" i="8"/>
  <c r="K3319" i="8" s="1"/>
  <c r="J2965" i="8"/>
  <c r="K2965" i="8" s="1"/>
  <c r="J2188" i="8"/>
  <c r="K2188" i="8" s="1"/>
  <c r="J2751" i="8"/>
  <c r="K2751" i="8" s="1"/>
  <c r="J3054" i="8"/>
  <c r="K3054" i="8" s="1"/>
  <c r="J3332" i="8"/>
  <c r="K3332" i="8" s="1"/>
  <c r="J1991" i="8"/>
  <c r="K1991" i="8" s="1"/>
  <c r="J2664" i="8"/>
  <c r="K2664" i="8" s="1"/>
  <c r="J3014" i="8"/>
  <c r="K3014" i="8" s="1"/>
  <c r="J3299" i="8"/>
  <c r="K3299" i="8" s="1"/>
  <c r="J3475" i="8"/>
  <c r="K3475" i="8" s="1"/>
  <c r="J242" i="8"/>
  <c r="K242" i="8" s="1"/>
  <c r="J2637" i="8"/>
  <c r="K2637" i="8" s="1"/>
  <c r="J1808" i="8"/>
  <c r="K1808" i="8" s="1"/>
  <c r="J2632" i="8"/>
  <c r="K2632" i="8" s="1"/>
  <c r="J2991" i="8"/>
  <c r="K2991" i="8" s="1"/>
  <c r="J3317" i="8"/>
  <c r="K3317" i="8" s="1"/>
  <c r="J1812" i="8"/>
  <c r="K1812" i="8" s="1"/>
  <c r="J2635" i="8"/>
  <c r="K2635" i="8" s="1"/>
  <c r="J2997" i="8"/>
  <c r="K2997" i="8" s="1"/>
  <c r="J3278" i="8"/>
  <c r="K3278" i="8" s="1"/>
  <c r="J2293" i="8"/>
  <c r="K2293" i="8" s="1"/>
  <c r="J1240" i="8"/>
  <c r="K1240" i="8" s="1"/>
  <c r="J2454" i="8"/>
  <c r="K2454" i="8" s="1"/>
  <c r="J2911" i="8"/>
  <c r="K2911" i="8" s="1"/>
  <c r="J2306" i="8"/>
  <c r="K2306" i="8" s="1"/>
  <c r="J2848" i="8"/>
  <c r="K2848" i="8" s="1"/>
  <c r="J3114" i="8"/>
  <c r="K3114" i="8" s="1"/>
  <c r="J3370" i="8"/>
  <c r="K3370" i="8" s="1"/>
  <c r="J1598" i="8"/>
  <c r="K1598" i="8" s="1"/>
  <c r="J2562" i="8"/>
  <c r="K2562" i="8" s="1"/>
  <c r="J2278" i="8"/>
  <c r="K2278" i="8" s="1"/>
  <c r="J2820" i="8"/>
  <c r="K2820" i="8" s="1"/>
  <c r="J3093" i="8"/>
  <c r="K3093" i="8" s="1"/>
  <c r="J3361" i="8"/>
  <c r="K3361" i="8" s="1"/>
  <c r="J1654" i="8"/>
  <c r="K1654" i="8" s="1"/>
  <c r="J2749" i="8"/>
  <c r="K2749" i="8" s="1"/>
  <c r="J3152" i="8"/>
  <c r="K3152" i="8" s="1"/>
  <c r="J3150" i="8"/>
  <c r="K3150" i="8" s="1"/>
  <c r="J3344" i="8"/>
  <c r="K3344" i="8" s="1"/>
  <c r="J3000" i="8"/>
  <c r="K3000" i="8" s="1"/>
  <c r="J3175" i="8"/>
  <c r="K3175" i="8" s="1"/>
  <c r="J2873" i="8"/>
  <c r="K2873" i="8" s="1"/>
  <c r="J2959" i="8"/>
  <c r="K2959" i="8" s="1"/>
  <c r="J3090" i="8"/>
  <c r="K3090" i="8" s="1"/>
  <c r="J2937" i="8"/>
  <c r="K2937" i="8" s="1"/>
  <c r="J2849" i="8"/>
  <c r="K2849" i="8" s="1"/>
  <c r="J3322" i="8"/>
  <c r="K3322" i="8" s="1"/>
  <c r="J3072" i="8"/>
  <c r="K3072" i="8" s="1"/>
  <c r="J2319" i="8"/>
  <c r="K2319" i="8" s="1"/>
  <c r="J3369" i="8"/>
  <c r="K3369" i="8" s="1"/>
  <c r="J3027" i="8"/>
  <c r="K3027" i="8" s="1"/>
  <c r="J3413" i="8"/>
  <c r="K3413" i="8" s="1"/>
  <c r="J2274" i="8"/>
  <c r="K2274" i="8" s="1"/>
  <c r="J926" i="8"/>
  <c r="K926" i="8" s="1"/>
  <c r="J2119" i="8"/>
  <c r="K2119" i="8" s="1"/>
  <c r="J1121" i="8"/>
  <c r="K1121" i="8" s="1"/>
  <c r="J3058" i="8"/>
  <c r="K3058" i="8" s="1"/>
  <c r="J3231" i="8"/>
  <c r="K3231" i="8" s="1"/>
  <c r="J1345" i="8"/>
  <c r="K1345" i="8" s="1"/>
  <c r="J2174" i="8"/>
  <c r="K2174" i="8" s="1"/>
  <c r="J2521" i="8"/>
  <c r="K2521" i="8" s="1"/>
  <c r="J2816" i="8"/>
  <c r="K2816" i="8" s="1"/>
  <c r="J2982" i="8"/>
  <c r="K2982" i="8" s="1"/>
  <c r="J3147" i="8"/>
  <c r="K3147" i="8" s="1"/>
  <c r="J55" i="8"/>
  <c r="K55" i="8" s="1"/>
  <c r="J1689" i="8"/>
  <c r="K1689" i="8" s="1"/>
  <c r="J2315" i="8"/>
  <c r="K2315" i="8" s="1"/>
  <c r="J2650" i="8"/>
  <c r="K2650" i="8" s="1"/>
  <c r="J2895" i="8"/>
  <c r="K2895" i="8" s="1"/>
  <c r="J3048" i="8"/>
  <c r="K3048" i="8" s="1"/>
  <c r="J3222" i="8"/>
  <c r="K3222" i="8" s="1"/>
  <c r="J3379" i="8"/>
  <c r="K3379" i="8" s="1"/>
  <c r="J1641" i="8"/>
  <c r="K1641" i="8" s="1"/>
  <c r="J1452" i="8"/>
  <c r="K1452" i="8" s="1"/>
  <c r="J2209" i="8"/>
  <c r="K2209" i="8" s="1"/>
  <c r="J2565" i="8"/>
  <c r="K2565" i="8" s="1"/>
  <c r="J2850" i="8"/>
  <c r="K2850" i="8" s="1"/>
  <c r="J3003" i="8"/>
  <c r="K3003" i="8" s="1"/>
  <c r="J3174" i="8"/>
  <c r="K3174" i="8" s="1"/>
  <c r="J3334" i="8"/>
  <c r="K3334" i="8" s="1"/>
  <c r="J3030" i="8"/>
  <c r="K3030" i="8" s="1"/>
  <c r="J2235" i="8"/>
  <c r="K2235" i="8" s="1"/>
  <c r="J2786" i="8"/>
  <c r="K2786" i="8" s="1"/>
  <c r="J3076" i="8"/>
  <c r="K3076" i="8" s="1"/>
  <c r="J3349" i="8"/>
  <c r="K3349" i="8" s="1"/>
  <c r="J2152" i="8"/>
  <c r="K2152" i="8" s="1"/>
  <c r="J2707" i="8"/>
  <c r="K2707" i="8" s="1"/>
  <c r="J3037" i="8"/>
  <c r="K3037" i="8" s="1"/>
  <c r="J3315" i="8"/>
  <c r="K3315" i="8" s="1"/>
  <c r="J3253" i="8"/>
  <c r="K3253" i="8" s="1"/>
  <c r="J1050" i="8"/>
  <c r="K1050" i="8" s="1"/>
  <c r="J2723" i="8"/>
  <c r="K2723" i="8" s="1"/>
  <c r="J1996" i="8"/>
  <c r="K1996" i="8" s="1"/>
  <c r="J2671" i="8"/>
  <c r="K2671" i="8" s="1"/>
  <c r="J3015" i="8"/>
  <c r="K3015" i="8" s="1"/>
  <c r="J3365" i="8"/>
  <c r="K3365" i="8" s="1"/>
  <c r="J2001" i="8"/>
  <c r="K2001" i="8" s="1"/>
  <c r="J2675" i="8"/>
  <c r="K2675" i="8" s="1"/>
  <c r="J3017" i="8"/>
  <c r="K3017" i="8" s="1"/>
  <c r="J3302" i="8"/>
  <c r="K3302" i="8" s="1"/>
  <c r="J2402" i="8"/>
  <c r="K2402" i="8" s="1"/>
  <c r="J1414" i="8"/>
  <c r="K1414" i="8" s="1"/>
  <c r="J2507" i="8"/>
  <c r="K2507" i="8" s="1"/>
  <c r="J637" i="8"/>
  <c r="K637" i="8" s="1"/>
  <c r="J2346" i="8"/>
  <c r="K2346" i="8" s="1"/>
  <c r="J2871" i="8"/>
  <c r="K2871" i="8" s="1"/>
  <c r="J3142" i="8"/>
  <c r="K3142" i="8" s="1"/>
  <c r="J1757" i="8"/>
  <c r="K1757" i="8" s="1"/>
  <c r="J2606" i="8"/>
  <c r="K2606" i="8" s="1"/>
  <c r="J2320" i="8"/>
  <c r="K2320" i="8" s="1"/>
  <c r="J2856" i="8"/>
  <c r="K2856" i="8" s="1"/>
  <c r="J3124" i="8"/>
  <c r="K3124" i="8" s="1"/>
  <c r="J3375" i="8"/>
  <c r="K3375" i="8" s="1"/>
  <c r="J1785" i="8"/>
  <c r="K1785" i="8" s="1"/>
  <c r="J2785" i="8"/>
  <c r="K2785" i="8" s="1"/>
  <c r="J3204" i="8"/>
  <c r="K3204" i="8" s="1"/>
  <c r="J3216" i="8"/>
  <c r="K3216" i="8" s="1"/>
  <c r="J3374" i="8"/>
  <c r="K3374" i="8" s="1"/>
  <c r="J3049" i="8"/>
  <c r="K3049" i="8" s="1"/>
  <c r="J3281" i="8"/>
  <c r="K3281" i="8" s="1"/>
  <c r="J3005" i="8"/>
  <c r="K3005" i="8" s="1"/>
  <c r="J3246" i="8"/>
  <c r="K3246" i="8" s="1"/>
  <c r="J3168" i="8"/>
  <c r="K3168" i="8" s="1"/>
  <c r="J3050" i="8"/>
  <c r="K3050" i="8" s="1"/>
  <c r="J2566" i="8"/>
  <c r="K2566" i="8" s="1"/>
  <c r="J2933" i="8"/>
  <c r="K2933" i="8" s="1"/>
  <c r="J3458" i="8"/>
  <c r="K3458" i="8" s="1"/>
  <c r="J2777" i="8"/>
  <c r="K2777" i="8" s="1"/>
  <c r="J3140" i="8"/>
  <c r="K3140" i="8" s="1"/>
  <c r="J2608" i="8"/>
  <c r="K2608" i="8" s="1"/>
  <c r="J3086" i="8"/>
  <c r="K3086" i="8" s="1"/>
  <c r="J2528" i="8"/>
  <c r="K2528" i="8" s="1"/>
  <c r="J2567" i="8"/>
  <c r="K2567" i="8" s="1"/>
  <c r="J1342" i="8"/>
  <c r="K1342" i="8" s="1"/>
  <c r="J2305" i="8"/>
  <c r="K2305" i="8" s="1"/>
  <c r="J1863" i="8"/>
  <c r="K1863" i="8" s="1"/>
  <c r="J3070" i="8"/>
  <c r="K3070" i="8" s="1"/>
  <c r="J3244" i="8"/>
  <c r="K3244" i="8" s="1"/>
  <c r="J1410" i="8"/>
  <c r="K1410" i="8" s="1"/>
  <c r="J2197" i="8"/>
  <c r="K2197" i="8" s="1"/>
  <c r="J2551" i="8"/>
  <c r="K2551" i="8" s="1"/>
  <c r="J2840" i="8"/>
  <c r="K2840" i="8" s="1"/>
  <c r="J2996" i="8"/>
  <c r="K2996" i="8" s="1"/>
  <c r="J3164" i="8"/>
  <c r="K3164" i="8" s="1"/>
  <c r="J719" i="8"/>
  <c r="K719" i="8" s="1"/>
  <c r="J1747" i="8"/>
  <c r="K1747" i="8" s="1"/>
  <c r="J2334" i="8"/>
  <c r="K2334" i="8" s="1"/>
  <c r="J2674" i="8"/>
  <c r="K2674" i="8" s="1"/>
  <c r="J2908" i="8"/>
  <c r="K2908" i="8" s="1"/>
  <c r="J3061" i="8"/>
  <c r="K3061" i="8" s="1"/>
  <c r="J3234" i="8"/>
  <c r="K3234" i="8" s="1"/>
  <c r="J140" i="8"/>
  <c r="K140" i="8" s="1"/>
  <c r="J1690" i="8"/>
  <c r="K1690" i="8" s="1"/>
  <c r="J1520" i="8"/>
  <c r="K1520" i="8" s="1"/>
  <c r="J2243" i="8"/>
  <c r="K2243" i="8" s="1"/>
  <c r="J2585" i="8"/>
  <c r="K2585" i="8" s="1"/>
  <c r="J2862" i="8"/>
  <c r="K2862" i="8" s="1"/>
  <c r="J3016" i="8"/>
  <c r="K3016" i="8" s="1"/>
  <c r="J3187" i="8"/>
  <c r="K3187" i="8" s="1"/>
  <c r="J3348" i="8"/>
  <c r="K3348" i="8" s="1"/>
  <c r="J3098" i="8"/>
  <c r="K3098" i="8" s="1"/>
  <c r="J2286" i="8"/>
  <c r="K2286" i="8" s="1"/>
  <c r="J2829" i="8"/>
  <c r="K2829" i="8" s="1"/>
  <c r="J3100" i="8"/>
  <c r="K3100" i="8" s="1"/>
  <c r="J3363" i="8"/>
  <c r="K3363" i="8" s="1"/>
  <c r="J2192" i="8"/>
  <c r="K2192" i="8" s="1"/>
  <c r="J2752" i="8"/>
  <c r="K2752" i="8" s="1"/>
  <c r="J3055" i="8"/>
  <c r="K3055" i="8" s="1"/>
  <c r="J3333" i="8"/>
  <c r="K3333" i="8" s="1"/>
  <c r="J3301" i="8"/>
  <c r="K3301" i="8" s="1"/>
  <c r="J1238" i="8"/>
  <c r="K1238" i="8" s="1"/>
  <c r="J2803" i="8"/>
  <c r="K2803" i="8" s="1"/>
  <c r="J2154" i="8"/>
  <c r="K2154" i="8" s="1"/>
  <c r="J2709" i="8"/>
  <c r="K2709" i="8" s="1"/>
  <c r="J3038" i="8"/>
  <c r="K3038" i="8" s="1"/>
  <c r="J3406" i="8"/>
  <c r="K3406" i="8" s="1"/>
  <c r="J2159" i="8"/>
  <c r="K2159" i="8" s="1"/>
  <c r="J2716" i="8"/>
  <c r="K2716" i="8" s="1"/>
  <c r="J3039" i="8"/>
  <c r="K3039" i="8" s="1"/>
  <c r="J3318" i="8"/>
  <c r="K3318" i="8" s="1"/>
  <c r="J2506" i="8"/>
  <c r="K2506" i="8" s="1"/>
  <c r="J1577" i="8"/>
  <c r="K1577" i="8" s="1"/>
  <c r="J2558" i="8"/>
  <c r="K2558" i="8" s="1"/>
  <c r="J1082" i="8"/>
  <c r="K1082" i="8" s="1"/>
  <c r="J2407" i="8"/>
  <c r="K2407" i="8" s="1"/>
  <c r="J2890" i="8"/>
  <c r="K2890" i="8" s="1"/>
  <c r="J3171" i="8"/>
  <c r="K3171" i="8" s="1"/>
  <c r="J1848" i="8"/>
  <c r="K1848" i="8" s="1"/>
  <c r="J902" i="8"/>
  <c r="K902" i="8" s="1"/>
  <c r="J2365" i="8"/>
  <c r="K2365" i="8" s="1"/>
  <c r="J2876" i="8"/>
  <c r="K2876" i="8" s="1"/>
  <c r="J3151" i="8"/>
  <c r="K3151" i="8" s="1"/>
  <c r="J2139" i="8"/>
  <c r="K2139" i="8" s="1"/>
  <c r="J2824" i="8"/>
  <c r="K2824" i="8" s="1"/>
  <c r="J3249" i="8"/>
  <c r="K3249" i="8" s="1"/>
  <c r="J3264" i="8"/>
  <c r="K3264" i="8" s="1"/>
  <c r="J3428" i="8"/>
  <c r="K3428" i="8" s="1"/>
  <c r="J3173" i="8"/>
  <c r="K3173" i="8" s="1"/>
  <c r="J3383" i="8"/>
  <c r="K3383" i="8" s="1"/>
  <c r="J3241" i="8"/>
  <c r="K3241" i="8" s="1"/>
  <c r="J3266" i="8"/>
  <c r="K3266" i="8" s="1"/>
  <c r="J3236" i="8"/>
  <c r="K3236" i="8" s="1"/>
  <c r="J3120" i="8"/>
  <c r="K3120" i="8" s="1"/>
  <c r="J2985" i="8"/>
  <c r="K2985" i="8" s="1"/>
  <c r="J2522" i="8"/>
  <c r="K2522" i="8" s="1"/>
  <c r="J3068" i="8"/>
  <c r="K3068" i="8" s="1"/>
  <c r="J3200" i="8"/>
  <c r="K3200" i="8" s="1"/>
  <c r="J2779" i="8"/>
  <c r="K2779" i="8" s="1"/>
  <c r="J3424" i="8"/>
  <c r="K3424" i="8" s="1"/>
  <c r="J3148" i="8"/>
  <c r="K3148" i="8" s="1"/>
  <c r="J2734" i="8"/>
  <c r="K2734" i="8" s="1"/>
  <c r="J3022" i="8"/>
  <c r="K3022" i="8" s="1"/>
  <c r="J154" i="8"/>
  <c r="K154" i="8" s="1"/>
  <c r="J2514" i="8"/>
  <c r="K2514" i="8" s="1"/>
  <c r="J2424" i="8"/>
  <c r="K2424" i="8" s="1"/>
  <c r="J3082" i="8"/>
  <c r="K3082" i="8" s="1"/>
  <c r="J3256" i="8"/>
  <c r="K3256" i="8" s="1"/>
  <c r="J1481" i="8"/>
  <c r="K1481" i="8" s="1"/>
  <c r="J2220" i="8"/>
  <c r="K2220" i="8" s="1"/>
  <c r="J2573" i="8"/>
  <c r="K2573" i="8" s="1"/>
  <c r="J2855" i="8"/>
  <c r="K2855" i="8" s="1"/>
  <c r="J3008" i="8"/>
  <c r="K3008" i="8" s="1"/>
  <c r="J3179" i="8"/>
  <c r="K3179" i="8" s="1"/>
  <c r="J939" i="8"/>
  <c r="K939" i="8" s="1"/>
  <c r="J1786" i="8"/>
  <c r="K1786" i="8" s="1"/>
  <c r="J2361" i="8"/>
  <c r="K2361" i="8" s="1"/>
  <c r="J2700" i="8"/>
  <c r="K2700" i="8" s="1"/>
  <c r="J2920" i="8"/>
  <c r="K2920" i="8" s="1"/>
  <c r="J3073" i="8"/>
  <c r="K3073" i="8" s="1"/>
  <c r="J3247" i="8"/>
  <c r="K3247" i="8" s="1"/>
  <c r="J731" i="8"/>
  <c r="K731" i="8" s="1"/>
  <c r="J1750" i="8"/>
  <c r="K1750" i="8" s="1"/>
  <c r="J1582" i="8"/>
  <c r="K1582" i="8" s="1"/>
  <c r="J2277" i="8"/>
  <c r="K2277" i="8" s="1"/>
  <c r="J2610" i="8"/>
  <c r="K2610" i="8" s="1"/>
  <c r="J2875" i="8"/>
  <c r="K2875" i="8" s="1"/>
  <c r="J3028" i="8"/>
  <c r="K3028" i="8" s="1"/>
  <c r="J3202" i="8"/>
  <c r="K3202" i="8" s="1"/>
  <c r="J3360" i="8"/>
  <c r="K3360" i="8" s="1"/>
  <c r="J3226" i="8"/>
  <c r="K3226" i="8" s="1"/>
  <c r="J2323" i="8"/>
  <c r="K2323" i="8" s="1"/>
  <c r="J2859" i="8"/>
  <c r="K2859" i="8" s="1"/>
  <c r="J3129" i="8"/>
  <c r="K3129" i="8" s="1"/>
  <c r="J3377" i="8"/>
  <c r="K3377" i="8" s="1"/>
  <c r="J2239" i="8"/>
  <c r="K2239" i="8" s="1"/>
  <c r="J2793" i="8"/>
  <c r="K2793" i="8" s="1"/>
  <c r="J3077" i="8"/>
  <c r="K3077" i="8" s="1"/>
  <c r="J3350" i="8"/>
  <c r="K3350" i="8" s="1"/>
  <c r="J3335" i="8"/>
  <c r="K3335" i="8" s="1"/>
  <c r="J1395" i="8"/>
  <c r="K1395" i="8" s="1"/>
  <c r="J2864" i="8"/>
  <c r="K2864" i="8" s="1"/>
  <c r="J2193" i="8"/>
  <c r="K2193" i="8" s="1"/>
  <c r="J2753" i="8"/>
  <c r="K2753" i="8" s="1"/>
  <c r="J3060" i="8"/>
  <c r="K3060" i="8" s="1"/>
  <c r="J3464" i="8"/>
  <c r="K3464" i="8" s="1"/>
  <c r="J2201" i="8"/>
  <c r="K2201" i="8" s="1"/>
  <c r="J2758" i="8"/>
  <c r="K2758" i="8" s="1"/>
  <c r="J3062" i="8"/>
  <c r="K3062" i="8" s="1"/>
  <c r="J3337" i="8"/>
  <c r="K3337" i="8" s="1"/>
  <c r="J2590" i="8"/>
  <c r="K2590" i="8" s="1"/>
  <c r="J1732" i="8"/>
  <c r="K1732" i="8" s="1"/>
  <c r="J2601" i="8"/>
  <c r="K2601" i="8" s="1"/>
  <c r="J1259" i="8"/>
  <c r="K1259" i="8" s="1"/>
  <c r="J2475" i="8"/>
  <c r="K2475" i="8" s="1"/>
  <c r="J2912" i="8"/>
  <c r="K2912" i="8" s="1"/>
  <c r="J3198" i="8"/>
  <c r="K3198" i="8" s="1"/>
  <c r="J3412" i="8"/>
  <c r="K3412" i="8" s="1"/>
  <c r="J2132" i="8"/>
  <c r="K2132" i="8" s="1"/>
  <c r="J1159" i="8"/>
  <c r="K1159" i="8" s="1"/>
  <c r="J2417" i="8"/>
  <c r="K2417" i="8" s="1"/>
  <c r="J2898" i="8"/>
  <c r="K2898" i="8" s="1"/>
  <c r="J3180" i="8"/>
  <c r="K3180" i="8" s="1"/>
  <c r="J3402" i="8"/>
  <c r="K3402" i="8" s="1"/>
  <c r="J2183" i="8"/>
  <c r="K2183" i="8" s="1"/>
  <c r="J2858" i="8"/>
  <c r="K2858" i="8" s="1"/>
  <c r="J875" i="8"/>
  <c r="K875" i="8" s="1"/>
  <c r="J3309" i="8"/>
  <c r="K3309" i="8" s="1"/>
  <c r="J3452" i="8"/>
  <c r="K3452" i="8" s="1"/>
  <c r="J3224" i="8"/>
  <c r="K3224" i="8" s="1"/>
  <c r="J3411" i="8"/>
  <c r="K3411" i="8" s="1"/>
  <c r="J3325" i="8"/>
  <c r="K3325" i="8" s="1"/>
  <c r="J3467" i="8"/>
  <c r="K3467" i="8" s="1"/>
  <c r="J3401" i="8"/>
  <c r="K3401" i="8" s="1"/>
  <c r="J3354" i="8"/>
  <c r="K3354" i="8" s="1"/>
  <c r="J3326" i="8"/>
  <c r="K3326" i="8" s="1"/>
  <c r="J3047" i="8"/>
  <c r="K3047" i="8" s="1"/>
  <c r="J3063" i="8"/>
  <c r="K3063" i="8" s="1"/>
  <c r="J3294" i="8"/>
  <c r="K3294" i="8" s="1"/>
  <c r="J3259" i="8"/>
  <c r="K3259" i="8" s="1"/>
  <c r="J2897" i="8"/>
  <c r="K2897" i="8" s="1"/>
  <c r="J3446" i="8"/>
  <c r="K3446" i="8" s="1"/>
  <c r="J3213" i="8"/>
  <c r="K3213" i="8" s="1"/>
  <c r="J2951" i="8"/>
  <c r="K2951" i="8" s="1"/>
  <c r="J3199" i="8"/>
  <c r="K3199" i="8" s="1"/>
  <c r="J1228" i="8"/>
  <c r="K1228" i="8" s="1"/>
  <c r="J2689" i="8"/>
  <c r="K2689" i="8" s="1"/>
  <c r="J2742" i="8"/>
  <c r="K2742" i="8" s="1"/>
  <c r="J3096" i="8"/>
  <c r="K3096" i="8" s="1"/>
  <c r="J3269" i="8"/>
  <c r="K3269" i="8" s="1"/>
  <c r="J1550" i="8"/>
  <c r="K1550" i="8" s="1"/>
  <c r="J2261" i="8"/>
  <c r="K2261" i="8" s="1"/>
  <c r="J2593" i="8"/>
  <c r="K2593" i="8" s="1"/>
  <c r="J2868" i="8"/>
  <c r="K2868" i="8" s="1"/>
  <c r="J3021" i="8"/>
  <c r="K3021" i="8" s="1"/>
  <c r="J3194" i="8"/>
  <c r="K3194" i="8" s="1"/>
  <c r="J1065" i="8"/>
  <c r="K1065" i="8" s="1"/>
  <c r="J1835" i="8"/>
  <c r="K1835" i="8" s="1"/>
  <c r="J2403" i="8"/>
  <c r="K2403" i="8" s="1"/>
  <c r="J2724" i="8"/>
  <c r="K2724" i="8" s="1"/>
  <c r="J2932" i="8"/>
  <c r="K2932" i="8" s="1"/>
  <c r="J3085" i="8"/>
  <c r="K3085" i="8" s="1"/>
  <c r="J3260" i="8"/>
  <c r="K3260" i="8" s="1"/>
  <c r="J949" i="8"/>
  <c r="K949" i="8" s="1"/>
  <c r="J1796" i="8"/>
  <c r="K1796" i="8" s="1"/>
  <c r="J1659" i="8"/>
  <c r="K1659" i="8" s="1"/>
  <c r="J2297" i="8"/>
  <c r="K2297" i="8" s="1"/>
  <c r="J2638" i="8"/>
  <c r="K2638" i="8" s="1"/>
  <c r="J2888" i="8"/>
  <c r="K2888" i="8" s="1"/>
  <c r="J3041" i="8"/>
  <c r="K3041" i="8" s="1"/>
  <c r="J3215" i="8"/>
  <c r="K3215" i="8" s="1"/>
  <c r="J3372" i="8"/>
  <c r="K3372" i="8" s="1"/>
  <c r="J962" i="8"/>
  <c r="K962" i="8" s="1"/>
  <c r="J2369" i="8"/>
  <c r="K2369" i="8" s="1"/>
  <c r="J2881" i="8"/>
  <c r="K2881" i="8" s="1"/>
  <c r="J3153" i="8"/>
  <c r="K3153" i="8" s="1"/>
  <c r="J2290" i="8"/>
  <c r="K2290" i="8" s="1"/>
  <c r="J2833" i="8"/>
  <c r="K2833" i="8" s="1"/>
  <c r="J3101" i="8"/>
  <c r="K3101" i="8" s="1"/>
  <c r="J3364" i="8"/>
  <c r="K3364" i="8" s="1"/>
  <c r="J3351" i="8"/>
  <c r="K3351" i="8" s="1"/>
  <c r="J1571" i="8"/>
  <c r="K1571" i="8" s="1"/>
  <c r="J2931" i="8"/>
  <c r="K2931" i="8" s="1"/>
  <c r="J2241" i="8"/>
  <c r="K2241" i="8" s="1"/>
  <c r="J2799" i="8"/>
  <c r="K2799" i="8" s="1"/>
  <c r="J3079" i="8"/>
  <c r="K3079" i="8" s="1"/>
  <c r="J3438" i="8"/>
  <c r="K3438" i="8" s="1"/>
  <c r="J2245" i="8"/>
  <c r="K2245" i="8" s="1"/>
  <c r="J2800" i="8"/>
  <c r="K2800" i="8" s="1"/>
  <c r="J3080" i="8"/>
  <c r="K3080" i="8" s="1"/>
  <c r="J3352" i="8"/>
  <c r="K3352" i="8" s="1"/>
  <c r="J2677" i="8"/>
  <c r="K2677" i="8" s="1"/>
  <c r="J1837" i="8"/>
  <c r="K1837" i="8" s="1"/>
  <c r="J2639" i="8"/>
  <c r="K2639" i="8" s="1"/>
  <c r="J1439" i="8"/>
  <c r="K1439" i="8" s="1"/>
  <c r="J2512" i="8"/>
  <c r="K2512" i="8" s="1"/>
  <c r="J2934" i="8"/>
  <c r="K2934" i="8" s="1"/>
  <c r="J3217" i="8"/>
  <c r="K3217" i="8" s="1"/>
  <c r="J3426" i="8"/>
  <c r="K3426" i="8" s="1"/>
  <c r="J2166" i="8"/>
  <c r="K2166" i="8" s="1"/>
  <c r="J1310" i="8"/>
  <c r="K1310" i="8" s="1"/>
  <c r="J2488" i="8"/>
  <c r="K2488" i="8" s="1"/>
  <c r="J2921" i="8"/>
  <c r="K2921" i="8" s="1"/>
  <c r="J3203" i="8"/>
  <c r="K3203" i="8" s="1"/>
  <c r="J3417" i="8"/>
  <c r="K3417" i="8" s="1"/>
  <c r="J2234" i="8"/>
  <c r="K2234" i="8" s="1"/>
  <c r="J2899" i="8"/>
  <c r="K2899" i="8" s="1"/>
  <c r="J1859" i="8"/>
  <c r="K1859" i="8" s="1"/>
  <c r="J3343" i="8"/>
  <c r="K3343" i="8" s="1"/>
  <c r="J3474" i="8"/>
  <c r="K3474" i="8" s="1"/>
  <c r="J3320" i="8"/>
  <c r="K3320" i="8" s="1"/>
  <c r="J1443" i="8"/>
  <c r="K1443" i="8" s="1"/>
  <c r="J3440" i="8"/>
  <c r="K3440" i="8" s="1"/>
  <c r="J1117" i="8"/>
  <c r="K1117" i="8" s="1"/>
  <c r="J2690" i="8"/>
  <c r="K2690" i="8" s="1"/>
  <c r="J3434" i="8"/>
  <c r="K3434" i="8" s="1"/>
  <c r="J3466" i="8"/>
  <c r="K3466" i="8" s="1"/>
  <c r="J3092" i="8"/>
  <c r="K3092" i="8" s="1"/>
  <c r="J3289" i="8"/>
  <c r="K3289" i="8" s="1"/>
  <c r="J3418" i="8"/>
  <c r="K3418" i="8" s="1"/>
  <c r="J3303" i="8"/>
  <c r="K3303" i="8" s="1"/>
  <c r="J2962" i="8"/>
  <c r="K2962" i="8" s="1"/>
  <c r="J3470" i="8"/>
  <c r="K3470" i="8" s="1"/>
  <c r="J3263" i="8"/>
  <c r="K3263" i="8" s="1"/>
  <c r="J3189" i="8"/>
  <c r="K3189" i="8" s="1"/>
  <c r="J3329" i="8"/>
  <c r="K3329" i="8" s="1"/>
  <c r="J1569" i="8"/>
  <c r="K1569" i="8" s="1"/>
  <c r="J390" i="8"/>
  <c r="K390" i="8" s="1"/>
  <c r="J2942" i="8"/>
  <c r="K2942" i="8" s="1"/>
  <c r="J3111" i="8"/>
  <c r="K3111" i="8" s="1"/>
  <c r="J3283" i="8"/>
  <c r="K3283" i="8" s="1"/>
  <c r="J1612" i="8"/>
  <c r="K1612" i="8" s="1"/>
  <c r="J2285" i="8"/>
  <c r="K2285" i="8" s="1"/>
  <c r="J2624" i="8"/>
  <c r="K2624" i="8" s="1"/>
  <c r="J2880" i="8"/>
  <c r="K2880" i="8" s="1"/>
  <c r="J3033" i="8"/>
  <c r="K3033" i="8" s="1"/>
  <c r="J3207" i="8"/>
  <c r="K3207" i="8" s="1"/>
  <c r="J1150" i="8"/>
  <c r="K1150" i="8" s="1"/>
  <c r="J1972" i="8"/>
  <c r="K1972" i="8" s="1"/>
  <c r="J2427" i="8"/>
  <c r="K2427" i="8" s="1"/>
  <c r="J2750" i="8"/>
  <c r="K2750" i="8" s="1"/>
  <c r="J2945" i="8"/>
  <c r="K2945" i="8" s="1"/>
  <c r="J3099" i="8"/>
  <c r="K3099" i="8" s="1"/>
  <c r="J3272" i="8"/>
  <c r="K3272" i="8" s="1"/>
  <c r="J1080" i="8"/>
  <c r="K1080" i="8" s="1"/>
  <c r="J312" i="8"/>
  <c r="K312" i="8" s="1"/>
  <c r="J1704" i="8"/>
  <c r="K1704" i="8" s="1"/>
  <c r="J2322" i="8"/>
  <c r="K2322" i="8" s="1"/>
  <c r="J2662" i="8"/>
  <c r="K2662" i="8" s="1"/>
  <c r="J2900" i="8"/>
  <c r="K2900" i="8" s="1"/>
  <c r="J3053" i="8"/>
  <c r="K3053" i="8" s="1"/>
  <c r="J3227" i="8"/>
  <c r="K3227" i="8" s="1"/>
  <c r="J1175" i="8"/>
  <c r="K1175" i="8" s="1"/>
  <c r="J2431" i="8"/>
  <c r="K2431" i="8" s="1"/>
  <c r="J2901" i="8"/>
  <c r="K2901" i="8" s="1"/>
  <c r="J3184" i="8"/>
  <c r="K3184" i="8" s="1"/>
  <c r="J3404" i="8"/>
  <c r="K3404" i="8" s="1"/>
  <c r="J2327" i="8"/>
  <c r="K2327" i="8" s="1"/>
  <c r="J2860" i="8"/>
  <c r="K2860" i="8" s="1"/>
  <c r="J3133" i="8"/>
  <c r="K3133" i="8" s="1"/>
  <c r="J3378" i="8"/>
  <c r="K3378" i="8" s="1"/>
  <c r="J3380" i="8"/>
  <c r="K3380" i="8" s="1"/>
  <c r="J1702" i="8"/>
  <c r="K1702" i="8" s="1"/>
  <c r="J2999" i="8"/>
  <c r="K2999" i="8" s="1"/>
  <c r="J2291" i="8"/>
  <c r="K2291" i="8" s="1"/>
  <c r="J2834" i="8"/>
  <c r="K2834" i="8" s="1"/>
  <c r="J3102" i="8"/>
  <c r="K3102" i="8" s="1"/>
  <c r="J2292" i="8"/>
  <c r="K2292" i="8" s="1"/>
  <c r="J2841" i="8"/>
  <c r="K2841" i="8" s="1"/>
  <c r="J3103" i="8"/>
  <c r="K3103" i="8" s="1"/>
  <c r="J3366" i="8"/>
  <c r="K3366" i="8" s="1"/>
  <c r="J2763" i="8"/>
  <c r="K2763" i="8" s="1"/>
  <c r="J2120" i="8"/>
  <c r="K2120" i="8" s="1"/>
  <c r="J2681" i="8"/>
  <c r="K2681" i="8" s="1"/>
  <c r="J1578" i="8"/>
  <c r="K1578" i="8" s="1"/>
  <c r="J2559" i="8"/>
  <c r="K2559" i="8" s="1"/>
  <c r="J2957" i="8"/>
  <c r="K2957" i="8" s="1"/>
  <c r="J3238" i="8"/>
  <c r="K3238" i="8" s="1"/>
  <c r="J3441" i="8"/>
  <c r="K3441" i="8" s="1"/>
  <c r="J2208" i="8"/>
  <c r="K2208" i="8" s="1"/>
  <c r="J1486" i="8"/>
  <c r="K1486" i="8" s="1"/>
  <c r="J2533" i="8"/>
  <c r="K2533" i="8" s="1"/>
  <c r="J2940" i="8"/>
  <c r="K2940" i="8" s="1"/>
  <c r="J3225" i="8"/>
  <c r="K3225" i="8" s="1"/>
  <c r="J3430" i="8"/>
  <c r="K3430" i="8" s="1"/>
  <c r="J2279" i="8"/>
  <c r="K2279" i="8" s="1"/>
  <c r="J2922" i="8"/>
  <c r="K2922" i="8" s="1"/>
  <c r="J2360" i="8"/>
  <c r="K2360" i="8" s="1"/>
  <c r="J3373" i="8"/>
  <c r="K3373" i="8" s="1"/>
  <c r="J3376" i="8"/>
  <c r="K3376" i="8" s="1"/>
  <c r="J3382" i="8"/>
  <c r="K3382" i="8" s="1"/>
  <c r="J2214" i="8"/>
  <c r="K2214" i="8" s="1"/>
  <c r="J2273" i="8"/>
  <c r="K2273" i="8" s="1"/>
  <c r="J2135" i="8"/>
  <c r="K2135" i="8" s="1"/>
  <c r="J2936" i="8"/>
  <c r="K2936" i="8" s="1"/>
  <c r="J2731" i="8"/>
  <c r="K2731" i="8" s="1"/>
  <c r="J2894" i="8"/>
  <c r="K2894" i="8" s="1"/>
  <c r="J3169" i="8"/>
  <c r="K3169" i="8" s="1"/>
  <c r="J3439" i="8"/>
  <c r="K3439" i="8" s="1"/>
  <c r="J1758" i="8"/>
  <c r="K1758" i="8" s="1"/>
  <c r="J3338" i="8"/>
  <c r="K3338" i="8" s="1"/>
  <c r="J3026" i="8"/>
  <c r="K3026" i="8" s="1"/>
  <c r="J796" i="8"/>
  <c r="K796" i="8" s="1"/>
  <c r="J3308" i="8"/>
  <c r="K3308" i="8" s="1"/>
  <c r="J3290" i="8"/>
  <c r="K3290" i="8" s="1"/>
  <c r="J3443" i="8"/>
  <c r="K3443" i="8" s="1"/>
  <c r="J2118" i="8"/>
  <c r="K2118" i="8" s="1"/>
  <c r="J1713" i="8"/>
  <c r="K1713" i="8" s="1"/>
  <c r="J2968" i="8"/>
  <c r="K2968" i="8" s="1"/>
  <c r="J3131" i="8"/>
  <c r="K3131" i="8" s="1"/>
  <c r="J3297" i="8"/>
  <c r="K3297" i="8" s="1"/>
  <c r="J1680" i="8"/>
  <c r="K1680" i="8" s="1"/>
  <c r="J2309" i="8"/>
  <c r="K2309" i="8" s="1"/>
  <c r="J2648" i="8"/>
  <c r="K2648" i="8" s="1"/>
  <c r="J2893" i="8"/>
  <c r="K2893" i="8" s="1"/>
  <c r="J3046" i="8"/>
  <c r="K3046" i="8" s="1"/>
  <c r="J3220" i="8"/>
  <c r="K3220" i="8" s="1"/>
  <c r="J1215" i="8"/>
  <c r="K1215" i="8" s="1"/>
  <c r="J2131" i="8"/>
  <c r="K2131" i="8" s="1"/>
  <c r="J2478" i="8"/>
  <c r="K2478" i="8" s="1"/>
  <c r="J2774" i="8"/>
  <c r="K2774" i="8" s="1"/>
  <c r="J2958" i="8"/>
  <c r="K2958" i="8" s="1"/>
  <c r="J3116" i="8"/>
  <c r="K3116" i="8" s="1"/>
  <c r="J3288" i="8"/>
  <c r="K3288" i="8" s="1"/>
  <c r="J1151" i="8"/>
  <c r="K1151" i="8" s="1"/>
  <c r="J900" i="8"/>
  <c r="K900" i="8" s="1"/>
  <c r="J1761" i="8"/>
  <c r="K1761" i="8" s="1"/>
  <c r="J2347" i="8"/>
  <c r="K2347" i="8" s="1"/>
  <c r="J2686" i="8"/>
  <c r="K2686" i="8" s="1"/>
  <c r="J2913" i="8"/>
  <c r="K2913" i="8" s="1"/>
  <c r="J3066" i="8"/>
  <c r="K3066" i="8" s="1"/>
  <c r="J3240" i="8"/>
  <c r="K3240" i="8" s="1"/>
  <c r="J1164" i="8"/>
  <c r="K1164" i="8" s="1"/>
  <c r="J1351" i="8"/>
  <c r="K1351" i="8" s="1"/>
  <c r="J2493" i="8"/>
  <c r="K2493" i="8" s="1"/>
  <c r="J2923" i="8"/>
  <c r="K2923" i="8" s="1"/>
  <c r="J3208" i="8"/>
  <c r="K3208" i="8" s="1"/>
  <c r="J975" i="8"/>
  <c r="K975" i="8" s="1"/>
  <c r="J2377" i="8"/>
  <c r="K2377" i="8" s="1"/>
  <c r="J2883" i="8"/>
  <c r="K2883" i="8" s="1"/>
  <c r="J3157" i="8"/>
  <c r="K3157" i="8" s="1"/>
  <c r="J2095" i="8"/>
  <c r="K2095" i="8" s="1"/>
  <c r="J226" i="8"/>
  <c r="K226" i="8" s="1"/>
  <c r="J2333" i="8"/>
  <c r="K2333" i="8" s="1"/>
  <c r="J2861" i="8"/>
  <c r="K2861" i="8" s="1"/>
  <c r="J3135" i="8"/>
  <c r="K3135" i="8" s="1"/>
  <c r="J240" i="8"/>
  <c r="K240" i="8" s="1"/>
  <c r="J2335" i="8"/>
  <c r="K2335" i="8" s="1"/>
  <c r="J2863" i="8"/>
  <c r="K2863" i="8" s="1"/>
  <c r="J3136" i="8"/>
  <c r="K3136" i="8" s="1"/>
  <c r="J3381" i="8"/>
  <c r="K3381" i="8" s="1"/>
  <c r="J2845" i="8"/>
  <c r="K2845" i="8" s="1"/>
  <c r="J2163" i="8"/>
  <c r="K2163" i="8" s="1"/>
  <c r="J2725" i="8"/>
  <c r="K2725" i="8" s="1"/>
  <c r="J1745" i="8"/>
  <c r="K1745" i="8" s="1"/>
  <c r="J2605" i="8"/>
  <c r="K2605" i="8" s="1"/>
  <c r="J2977" i="8"/>
  <c r="K2977" i="8" s="1"/>
  <c r="J3262" i="8"/>
  <c r="K3262" i="8" s="1"/>
  <c r="J3453" i="8"/>
  <c r="K3453" i="8" s="1"/>
  <c r="J2269" i="8"/>
  <c r="K2269" i="8" s="1"/>
  <c r="J1645" i="8"/>
  <c r="K1645" i="8" s="1"/>
  <c r="J2576" i="8"/>
  <c r="K2576" i="8" s="1"/>
  <c r="J2963" i="8"/>
  <c r="K2963" i="8" s="1"/>
  <c r="J3248" i="8"/>
  <c r="K3248" i="8" s="1"/>
  <c r="J3445" i="8"/>
  <c r="K3445" i="8" s="1"/>
  <c r="J2367" i="8"/>
  <c r="K2367" i="8" s="1"/>
  <c r="J2944" i="8"/>
  <c r="K2944" i="8" s="1"/>
  <c r="J2651" i="8"/>
  <c r="K2651" i="8" s="1"/>
  <c r="J3429" i="8"/>
  <c r="K3429" i="8" s="1"/>
  <c r="J3408" i="8"/>
  <c r="K3408" i="8" s="1"/>
  <c r="J2872" i="8"/>
  <c r="K2872" i="8" s="1"/>
  <c r="J2874" i="8"/>
  <c r="K2874" i="8" s="1"/>
  <c r="J2409" i="8"/>
  <c r="K2409" i="8" s="1"/>
  <c r="J3108" i="8"/>
  <c r="K3108" i="8" s="1"/>
  <c r="J2939" i="8"/>
  <c r="K2939" i="8" s="1"/>
  <c r="J3138" i="8"/>
  <c r="K3138" i="8" s="1"/>
  <c r="J3223" i="8"/>
  <c r="K3223" i="8" s="1"/>
  <c r="J1466" i="8"/>
  <c r="K1466" i="8" s="1"/>
  <c r="J2316" i="8"/>
  <c r="K2316" i="8" s="1"/>
  <c r="J3368" i="8"/>
  <c r="K3368" i="8" s="1"/>
  <c r="J3084" i="8"/>
  <c r="K3084" i="8" s="1"/>
  <c r="J1850" i="8"/>
  <c r="K1850" i="8" s="1"/>
  <c r="J3341" i="8"/>
  <c r="K3341" i="8" s="1"/>
  <c r="J3414" i="8"/>
  <c r="K3414" i="8" s="1"/>
  <c r="J2304" i="8"/>
  <c r="K2304" i="8" s="1"/>
  <c r="J1537" i="8"/>
  <c r="K1537" i="8" s="1"/>
  <c r="J2981" i="8"/>
  <c r="K2981" i="8" s="1"/>
  <c r="J3146" i="8"/>
  <c r="K3146" i="8" s="1"/>
  <c r="J553" i="8"/>
  <c r="K553" i="8" s="1"/>
  <c r="J1736" i="8"/>
  <c r="K1736" i="8" s="1"/>
  <c r="J2332" i="8"/>
  <c r="K2332" i="8" s="1"/>
  <c r="J2670" i="8"/>
  <c r="K2670" i="8" s="1"/>
  <c r="J2905" i="8"/>
  <c r="K2905" i="8" s="1"/>
  <c r="J3059" i="8"/>
  <c r="K3059" i="8" s="1"/>
  <c r="J3232" i="8"/>
  <c r="K3232" i="8" s="1"/>
  <c r="J1286" i="8"/>
  <c r="K1286" i="8" s="1"/>
  <c r="J2153" i="8"/>
  <c r="K2153" i="8" s="1"/>
  <c r="J2503" i="8"/>
  <c r="K2503" i="8" s="1"/>
  <c r="J2794" i="8"/>
  <c r="K2794" i="8" s="1"/>
  <c r="J2971" i="8"/>
  <c r="K2971" i="8" s="1"/>
  <c r="J3134" i="8"/>
  <c r="K3134" i="8" s="1"/>
  <c r="J3300" i="8"/>
  <c r="K3300" i="8" s="1"/>
  <c r="J1224" i="8"/>
  <c r="K1224" i="8" s="1"/>
  <c r="J978" i="8"/>
  <c r="K978" i="8" s="1"/>
  <c r="J1809" i="8"/>
  <c r="K1809" i="8" s="1"/>
  <c r="J2379" i="8"/>
  <c r="K2379" i="8" s="1"/>
  <c r="J2708" i="8"/>
  <c r="K2708" i="8" s="1"/>
  <c r="J2925" i="8"/>
  <c r="K2925" i="8" s="1"/>
  <c r="J3078" i="8"/>
  <c r="K3078" i="8" s="1"/>
  <c r="J3252" i="8"/>
  <c r="K3252" i="8" s="1"/>
  <c r="J1961" i="8"/>
  <c r="K1961" i="8" s="1"/>
  <c r="J1509" i="8"/>
  <c r="K1509" i="8" s="1"/>
  <c r="J2535" i="8"/>
  <c r="K2535" i="8" s="1"/>
  <c r="J2946" i="8"/>
  <c r="K2946" i="8" s="1"/>
  <c r="J3228" i="8"/>
  <c r="K3228" i="8" s="1"/>
  <c r="J1191" i="8"/>
  <c r="K1191" i="8" s="1"/>
  <c r="J2439" i="8"/>
  <c r="K2439" i="8" s="1"/>
  <c r="J2902" i="8"/>
  <c r="K2902" i="8" s="1"/>
  <c r="J3185" i="8"/>
  <c r="K3185" i="8" s="1"/>
  <c r="J3405" i="8"/>
  <c r="K3405" i="8" s="1"/>
  <c r="J3422" i="8"/>
  <c r="K3422" i="8" s="1"/>
  <c r="J2160" i="8"/>
  <c r="K2160" i="8" s="1"/>
  <c r="J976" i="8"/>
  <c r="K976" i="8" s="1"/>
  <c r="J2386" i="8"/>
  <c r="K2386" i="8" s="1"/>
  <c r="J2885" i="8"/>
  <c r="K2885" i="8" s="1"/>
  <c r="J3158" i="8"/>
  <c r="K3158" i="8" s="1"/>
  <c r="J1015" i="8"/>
  <c r="K1015" i="8" s="1"/>
  <c r="J2388" i="8"/>
  <c r="K2388" i="8" s="1"/>
  <c r="J2886" i="8"/>
  <c r="K2886" i="8" s="1"/>
  <c r="J3165" i="8"/>
  <c r="K3165" i="8" s="1"/>
  <c r="J2887" i="8"/>
  <c r="K2887" i="8" s="1"/>
  <c r="J2206" i="8"/>
  <c r="K2206" i="8" s="1"/>
  <c r="J2764" i="8"/>
  <c r="K2764" i="8" s="1"/>
  <c r="J1838" i="8"/>
  <c r="K1838" i="8" s="1"/>
  <c r="J2640" i="8"/>
  <c r="K2640" i="8" s="1"/>
  <c r="J3001" i="8"/>
  <c r="K3001" i="8" s="1"/>
  <c r="J3287" i="8"/>
  <c r="K3287" i="8" s="1"/>
  <c r="J3468" i="8"/>
  <c r="K3468" i="8" s="1"/>
  <c r="J2310" i="8"/>
  <c r="K2310" i="8" s="1"/>
  <c r="J1772" i="8"/>
  <c r="K1772" i="8" s="1"/>
  <c r="J2614" i="8"/>
  <c r="K2614" i="8" s="1"/>
  <c r="J2986" i="8"/>
  <c r="K2986" i="8" s="1"/>
  <c r="J3267" i="8"/>
  <c r="K3267" i="8" s="1"/>
  <c r="J3460" i="8"/>
  <c r="K3460" i="8" s="1"/>
  <c r="J2426" i="8"/>
  <c r="K2426" i="8" s="1"/>
  <c r="J2987" i="8"/>
  <c r="K2987" i="8" s="1"/>
  <c r="J2817" i="8"/>
  <c r="K2817" i="8" s="1"/>
  <c r="J3427" i="8"/>
  <c r="K3427" i="8" s="1"/>
  <c r="J3456" i="8"/>
  <c r="K3456" i="8" s="1"/>
  <c r="J3457" i="8"/>
  <c r="K3457" i="8" s="1"/>
  <c r="J3118" i="8"/>
  <c r="K3118" i="8" s="1"/>
  <c r="J3067" i="8"/>
  <c r="K3067" i="8" s="1"/>
  <c r="J2652" i="8"/>
  <c r="K2652" i="8" s="1"/>
  <c r="J3280" i="8"/>
  <c r="K3280" i="8" s="1"/>
  <c r="J3004" i="8"/>
  <c r="K3004" i="8" s="1"/>
  <c r="J3362" i="8"/>
  <c r="K3362" i="8" s="1"/>
  <c r="J3271" i="8"/>
  <c r="K3271" i="8" s="1"/>
  <c r="J3119" i="8"/>
  <c r="K3119" i="8" s="1"/>
  <c r="J2607" i="8"/>
  <c r="K2607" i="8" s="1"/>
  <c r="J3143" i="8"/>
  <c r="K3143" i="8" s="1"/>
  <c r="J2350" i="8"/>
  <c r="K2350" i="8" s="1"/>
  <c r="J3371" i="8"/>
  <c r="K3371" i="8" s="1"/>
  <c r="J3462" i="8"/>
  <c r="K3462" i="8" s="1"/>
  <c r="J2513" i="8"/>
  <c r="K2513" i="8" s="1"/>
  <c r="J2254" i="8"/>
  <c r="K2254" i="8" s="1"/>
  <c r="J2995" i="8"/>
  <c r="K2995" i="8" s="1"/>
  <c r="J3163" i="8"/>
  <c r="K3163" i="8" s="1"/>
  <c r="J937" i="8"/>
  <c r="K937" i="8" s="1"/>
  <c r="J1783" i="8"/>
  <c r="K1783" i="8" s="1"/>
  <c r="J2357" i="8"/>
  <c r="K2357" i="8" s="1"/>
  <c r="J2693" i="8"/>
  <c r="K2693" i="8" s="1"/>
  <c r="J2918" i="8"/>
  <c r="K2918" i="8" s="1"/>
  <c r="J3071" i="8"/>
  <c r="K3071" i="8" s="1"/>
  <c r="J3245" i="8"/>
  <c r="K3245" i="8" s="1"/>
  <c r="J1352" i="8"/>
  <c r="K1352" i="8" s="1"/>
  <c r="J2179" i="8"/>
  <c r="K2179" i="8" s="1"/>
  <c r="J2527" i="8"/>
  <c r="K2527" i="8" s="1"/>
  <c r="J2818" i="8"/>
  <c r="K2818" i="8" s="1"/>
  <c r="J2984" i="8"/>
  <c r="K2984" i="8" s="1"/>
  <c r="J3149" i="8"/>
  <c r="K3149" i="8" s="1"/>
  <c r="J3313" i="8"/>
  <c r="K3313" i="8" s="1"/>
  <c r="J1293" i="8"/>
  <c r="K1293" i="8" s="1"/>
  <c r="J1105" i="8"/>
  <c r="K1105" i="8" s="1"/>
  <c r="J1853" i="8"/>
  <c r="K1853" i="8" s="1"/>
  <c r="J2410" i="8"/>
  <c r="K2410" i="8" s="1"/>
  <c r="J2735" i="8"/>
  <c r="K2735" i="8" s="1"/>
  <c r="J2938" i="8"/>
  <c r="K2938" i="8" s="1"/>
  <c r="J3091" i="8"/>
  <c r="K3091" i="8" s="1"/>
  <c r="J3265" i="8"/>
  <c r="K3265" i="8" s="1"/>
  <c r="J2321" i="8"/>
  <c r="K2321" i="8" s="1"/>
  <c r="J1666" i="8"/>
  <c r="K1666" i="8" s="1"/>
  <c r="J2579" i="8"/>
  <c r="K2579" i="8" s="1"/>
  <c r="J2966" i="8"/>
  <c r="K2966" i="8" s="1"/>
  <c r="J3250" i="8"/>
  <c r="K3250" i="8" s="1"/>
  <c r="J1364" i="8"/>
  <c r="K1364" i="8" s="1"/>
  <c r="J2500" i="8"/>
  <c r="K2500" i="8" s="1"/>
  <c r="J2924" i="8"/>
  <c r="K2924" i="8" s="1"/>
  <c r="J3210" i="8"/>
  <c r="K3210" i="8" s="1"/>
  <c r="J3420" i="8"/>
  <c r="K3420" i="8" s="1"/>
  <c r="J3437" i="8"/>
  <c r="K3437" i="8" s="1"/>
  <c r="J2246" i="8"/>
  <c r="K2246" i="8" s="1"/>
  <c r="J1212" i="8"/>
  <c r="K1212" i="8" s="1"/>
  <c r="J2447" i="8"/>
  <c r="K2447" i="8" s="1"/>
  <c r="J2907" i="8"/>
  <c r="K2907" i="8" s="1"/>
  <c r="J3186" i="8"/>
  <c r="K3186" i="8" s="1"/>
  <c r="J1230" i="8"/>
  <c r="K1230" i="8" s="1"/>
  <c r="J2448" i="8"/>
  <c r="K2448" i="8" s="1"/>
  <c r="J2909" i="8"/>
  <c r="K2909" i="8" s="1"/>
  <c r="J3188" i="8"/>
  <c r="K3188" i="8" s="1"/>
  <c r="J3407" i="8"/>
  <c r="K3407" i="8" s="1"/>
  <c r="J2910" i="8"/>
  <c r="K2910" i="8" s="1"/>
  <c r="J2266" i="8"/>
  <c r="K2266" i="8" s="1"/>
  <c r="J2804" i="8"/>
  <c r="K2804" i="8" s="1"/>
  <c r="J2127" i="8"/>
  <c r="K2127" i="8" s="1"/>
  <c r="J2682" i="8"/>
  <c r="K2682" i="8" s="1"/>
  <c r="J3024" i="8"/>
  <c r="K3024" i="8" s="1"/>
  <c r="J3307" i="8"/>
  <c r="K3307" i="8" s="1"/>
  <c r="J732" i="8"/>
  <c r="K732" i="8" s="1"/>
  <c r="J2348" i="8"/>
  <c r="K2348" i="8" s="1"/>
  <c r="J1860" i="8"/>
  <c r="K1860" i="8" s="1"/>
  <c r="J2656" i="8"/>
  <c r="K2656" i="8" s="1"/>
  <c r="J3009" i="8"/>
  <c r="K3009" i="8" s="1"/>
  <c r="J3292" i="8"/>
  <c r="K3292" i="8" s="1"/>
  <c r="J3472" i="8"/>
  <c r="K3472" i="8" s="1"/>
  <c r="J2492" i="8"/>
  <c r="K2492" i="8" s="1"/>
  <c r="J3011" i="8"/>
  <c r="K3011" i="8" s="1"/>
  <c r="J2915" i="8"/>
  <c r="K2915" i="8" s="1"/>
  <c r="J3451" i="8"/>
  <c r="K3451" i="8" s="1"/>
  <c r="J1295" i="8"/>
  <c r="K1295" i="8" s="1"/>
  <c r="J2181" i="8"/>
  <c r="K2181" i="8" s="1"/>
  <c r="J3237" i="8"/>
  <c r="K3237" i="8" s="1"/>
  <c r="J3242" i="8"/>
  <c r="K3242" i="8" s="1"/>
  <c r="J2819" i="8"/>
  <c r="K2819" i="8" s="1"/>
  <c r="J3353" i="8"/>
  <c r="K3353" i="8" s="1"/>
  <c r="J3176" i="8"/>
  <c r="K3176" i="8" s="1"/>
  <c r="J1149" i="8"/>
  <c r="K1149" i="8" s="1"/>
  <c r="J3312" i="8"/>
  <c r="K3312" i="8" s="1"/>
  <c r="J3358" i="8"/>
  <c r="K3358" i="8" s="1"/>
  <c r="J2778" i="8"/>
  <c r="K2778" i="8" s="1"/>
  <c r="J3419" i="8"/>
  <c r="K3419" i="8" s="1"/>
  <c r="J3201" i="8"/>
  <c r="K3201" i="8" s="1"/>
  <c r="J2649" i="8"/>
  <c r="K2649" i="8" s="1"/>
  <c r="J1624" i="8"/>
  <c r="K1624" i="8" s="1"/>
  <c r="J2688" i="8"/>
  <c r="K2688" i="8" s="1"/>
  <c r="J2591" i="8"/>
  <c r="K2591" i="8" s="1"/>
  <c r="J3007" i="8"/>
  <c r="K3007" i="8" s="1"/>
  <c r="J3178" i="8"/>
  <c r="K3178" i="8" s="1"/>
  <c r="J1046" i="8"/>
  <c r="K1046" i="8" s="1"/>
  <c r="J1827" i="8"/>
  <c r="K1827" i="8" s="1"/>
  <c r="J2394" i="8"/>
  <c r="K2394" i="8" s="1"/>
  <c r="J2722" i="8"/>
  <c r="K2722" i="8" s="1"/>
  <c r="J2930" i="8"/>
  <c r="K2930" i="8" s="1"/>
  <c r="J3083" i="8"/>
  <c r="K3083" i="8" s="1"/>
  <c r="J3257" i="8"/>
  <c r="K3257" i="8" s="1"/>
  <c r="J1425" i="8"/>
  <c r="K1425" i="8" s="1"/>
  <c r="J2202" i="8"/>
  <c r="K2202" i="8" s="1"/>
  <c r="J2553" i="8"/>
  <c r="K2553" i="8" s="1"/>
  <c r="J2844" i="8"/>
  <c r="K2844" i="8" s="1"/>
  <c r="J2998" i="8"/>
  <c r="K2998" i="8" s="1"/>
  <c r="J3166" i="8"/>
  <c r="K3166" i="8" s="1"/>
  <c r="J3327" i="8"/>
  <c r="K3327" i="8" s="1"/>
  <c r="J1355" i="8"/>
  <c r="K1355" i="8" s="1"/>
  <c r="J1176" i="8"/>
  <c r="K1176" i="8" s="1"/>
  <c r="J2075" i="8"/>
  <c r="K2075" i="8" s="1"/>
  <c r="J2449" i="8"/>
  <c r="K2449" i="8" s="1"/>
  <c r="J2759" i="8"/>
  <c r="K2759" i="8" s="1"/>
  <c r="J2950" i="8"/>
  <c r="K2950" i="8" s="1"/>
  <c r="J3104" i="8"/>
  <c r="K3104" i="8" s="1"/>
  <c r="J3279" i="8"/>
  <c r="K3279" i="8" s="1"/>
  <c r="J2534" i="8"/>
  <c r="K2534" i="8" s="1"/>
  <c r="J1799" i="8"/>
  <c r="K1799" i="8" s="1"/>
  <c r="J2625" i="8"/>
  <c r="K2625" i="8" s="1"/>
  <c r="J2988" i="8"/>
  <c r="K2988" i="8" s="1"/>
  <c r="J3275" i="8"/>
  <c r="K3275" i="8" s="1"/>
  <c r="J1514" i="8"/>
  <c r="K1514" i="8" s="1"/>
  <c r="J2538" i="8"/>
  <c r="K2538" i="8" s="1"/>
  <c r="J2947" i="8"/>
  <c r="K2947" i="8" s="1"/>
  <c r="J3229" i="8"/>
  <c r="K3229" i="8" s="1"/>
  <c r="J3435" i="8"/>
  <c r="K3435" i="8" s="1"/>
  <c r="J3449" i="8"/>
  <c r="K3449" i="8" s="1"/>
  <c r="J2339" i="8"/>
  <c r="K2339" i="8" s="1"/>
  <c r="J1371" i="8"/>
  <c r="K1371" i="8" s="1"/>
  <c r="J2504" i="8"/>
  <c r="K2504" i="8" s="1"/>
  <c r="J2926" i="8"/>
  <c r="K2926" i="8" s="1"/>
  <c r="J3211" i="8"/>
  <c r="K3211" i="8" s="1"/>
  <c r="J1379" i="8"/>
  <c r="K1379" i="8" s="1"/>
  <c r="J2505" i="8"/>
  <c r="K2505" i="8" s="1"/>
  <c r="J2927" i="8"/>
  <c r="K2927" i="8" s="1"/>
  <c r="J3212" i="8"/>
  <c r="K3212" i="8" s="1"/>
  <c r="J3450" i="8"/>
  <c r="K3450" i="8" s="1"/>
  <c r="J2974" i="8"/>
  <c r="K2974" i="8" s="1"/>
  <c r="J2299" i="8"/>
  <c r="K2299" i="8" s="1"/>
  <c r="J2846" i="8"/>
  <c r="K2846" i="8" s="1"/>
  <c r="J2165" i="8"/>
  <c r="K2165" i="8" s="1"/>
  <c r="J2729" i="8"/>
  <c r="K2729" i="8" s="1"/>
  <c r="J3043" i="8"/>
  <c r="K3043" i="8" s="1"/>
  <c r="J3323" i="8"/>
  <c r="K3323" i="8" s="1"/>
  <c r="J1095" i="8"/>
  <c r="K1095" i="8" s="1"/>
  <c r="J2408" i="8"/>
  <c r="K2408" i="8" s="1"/>
  <c r="J2137" i="8"/>
  <c r="K2137" i="8" s="1"/>
  <c r="J2701" i="8"/>
  <c r="K2701" i="8" s="1"/>
  <c r="J3029" i="8"/>
  <c r="K3029" i="8" s="1"/>
  <c r="J3311" i="8"/>
  <c r="K3311" i="8" s="1"/>
  <c r="J938" i="8"/>
  <c r="K938" i="8" s="1"/>
  <c r="J2578" i="8"/>
  <c r="K2578" i="8" s="1"/>
  <c r="J3052" i="8"/>
  <c r="K3052" i="8" s="1"/>
  <c r="J2979" i="8"/>
  <c r="K2979" i="8" s="1"/>
  <c r="J3473" i="8"/>
  <c r="K3473" i="8" s="1"/>
  <c r="J2178" i="8"/>
  <c r="K2178" i="8" s="1"/>
  <c r="J2487" i="8"/>
  <c r="K2487" i="8" s="1"/>
  <c r="J3324" i="8"/>
  <c r="K3324" i="8" s="1"/>
  <c r="J3359" i="8"/>
  <c r="K3359" i="8" s="1"/>
  <c r="J2919" i="8"/>
  <c r="K2919" i="8" s="1"/>
  <c r="J3433" i="8"/>
  <c r="K3433" i="8" s="1"/>
  <c r="J3357" i="8"/>
  <c r="K3357" i="8" s="1"/>
  <c r="J2136" i="8"/>
  <c r="K2136" i="8" s="1"/>
  <c r="J3346" i="8"/>
  <c r="K3346" i="8" s="1"/>
  <c r="J2736" i="8"/>
  <c r="K2736" i="8" s="1"/>
  <c r="J2896" i="8"/>
  <c r="K2896" i="8" s="1"/>
  <c r="J3444" i="8"/>
  <c r="K3444" i="8" s="1"/>
  <c r="J3261" i="8"/>
  <c r="K3261" i="8" s="1"/>
  <c r="J2807" i="8"/>
  <c r="K2807" i="8" s="1"/>
  <c r="J3425" i="8"/>
  <c r="K3425" i="8" s="1"/>
  <c r="J3018" i="8"/>
  <c r="K3018" i="8" s="1"/>
  <c r="J168" i="8"/>
  <c r="K168" i="8" s="1"/>
  <c r="J2866" i="8"/>
  <c r="K2866" i="8" s="1"/>
  <c r="J3020" i="8"/>
  <c r="K3020" i="8" s="1"/>
  <c r="J3193" i="8"/>
  <c r="K3193" i="8" s="1"/>
  <c r="J1134" i="8"/>
  <c r="K1134" i="8" s="1"/>
  <c r="J1943" i="8"/>
  <c r="K1943" i="8" s="1"/>
  <c r="J2425" i="8"/>
  <c r="K2425" i="8" s="1"/>
  <c r="J2743" i="8"/>
  <c r="K2743" i="8" s="1"/>
  <c r="J2943" i="8"/>
  <c r="K2943" i="8" s="1"/>
  <c r="J3097" i="8"/>
  <c r="K3097" i="8" s="1"/>
  <c r="J3270" i="8"/>
  <c r="K3270" i="8" s="1"/>
  <c r="J1494" i="8"/>
  <c r="K1494" i="8" s="1"/>
  <c r="J2222" i="8"/>
  <c r="K2222" i="8" s="1"/>
  <c r="J2577" i="8"/>
  <c r="K2577" i="8" s="1"/>
  <c r="J2857" i="8"/>
  <c r="K2857" i="8" s="1"/>
  <c r="J3010" i="8"/>
  <c r="K3010" i="8" s="1"/>
  <c r="J3181" i="8"/>
  <c r="K3181" i="8" s="1"/>
  <c r="J3342" i="8"/>
  <c r="K3342" i="8" s="1"/>
  <c r="J1432" i="8"/>
  <c r="K1432" i="8" s="1"/>
  <c r="J1245" i="8"/>
  <c r="K1245" i="8" s="1"/>
  <c r="J2138" i="8"/>
  <c r="K2138" i="8" s="1"/>
  <c r="J2491" i="8"/>
  <c r="K2491" i="8" s="1"/>
  <c r="J2781" i="8"/>
  <c r="K2781" i="8" s="1"/>
  <c r="J2964" i="8"/>
  <c r="K2964" i="8" s="1"/>
  <c r="J3125" i="8"/>
  <c r="K3125" i="8" s="1"/>
  <c r="J3293" i="8"/>
  <c r="K3293" i="8" s="1"/>
  <c r="J2705" i="8"/>
  <c r="K2705" i="8" s="1"/>
  <c r="J1989" i="8"/>
  <c r="K1989" i="8" s="1"/>
  <c r="J2663" i="8"/>
  <c r="K2663" i="8" s="1"/>
  <c r="J3012" i="8"/>
  <c r="K3012" i="8" s="1"/>
  <c r="J3295" i="8"/>
  <c r="K3295" i="8" s="1"/>
  <c r="J1683" i="8"/>
  <c r="K1683" i="8" s="1"/>
  <c r="J2580" i="8"/>
  <c r="K2580" i="8" s="1"/>
  <c r="J2970" i="8"/>
  <c r="K2970" i="8" s="1"/>
  <c r="J3251" i="8"/>
  <c r="K3251" i="8" s="1"/>
  <c r="J3448" i="8"/>
  <c r="K3448" i="8" s="1"/>
  <c r="J3423" i="8"/>
  <c r="K3423" i="8" s="1"/>
  <c r="J2452" i="8"/>
  <c r="K2452" i="8" s="1"/>
  <c r="J1524" i="8"/>
  <c r="K1524" i="8" s="1"/>
  <c r="J2546" i="8"/>
  <c r="K2546" i="8" s="1"/>
  <c r="J2948" i="8"/>
  <c r="K2948" i="8" s="1"/>
  <c r="J3233" i="8"/>
  <c r="K3233" i="8" s="1"/>
  <c r="J1551" i="8"/>
  <c r="K1551" i="8" s="1"/>
  <c r="J2552" i="8"/>
  <c r="K2552" i="8" s="1"/>
  <c r="J2949" i="8"/>
  <c r="K2949" i="8" s="1"/>
  <c r="J3235" i="8"/>
  <c r="K3235" i="8" s="1"/>
  <c r="J1834" i="8"/>
  <c r="K1834" i="8" s="1"/>
  <c r="J474" i="8"/>
  <c r="K474" i="8" s="1"/>
  <c r="J2340" i="8"/>
  <c r="K2340" i="8" s="1"/>
  <c r="J2869" i="8"/>
  <c r="K2869" i="8" s="1"/>
  <c r="J2207" i="8"/>
  <c r="K2207" i="8" s="1"/>
  <c r="J2772" i="8"/>
  <c r="K2772" i="8" s="1"/>
  <c r="J3065" i="8"/>
  <c r="K3065" i="8" s="1"/>
  <c r="J3340" i="8"/>
  <c r="K3340" i="8" s="1"/>
  <c r="J1281" i="8"/>
  <c r="K1281" i="8" s="1"/>
  <c r="J2479" i="8"/>
  <c r="K2479" i="8" s="1"/>
  <c r="J2182" i="8"/>
  <c r="K2182" i="8" s="1"/>
  <c r="J2737" i="8"/>
  <c r="K2737" i="8" s="1"/>
  <c r="J3051" i="8"/>
  <c r="K3051" i="8" s="1"/>
  <c r="J3328" i="8"/>
  <c r="K3328" i="8" s="1"/>
  <c r="J1324" i="8"/>
  <c r="K1324" i="8" s="1"/>
  <c r="J2615" i="8"/>
  <c r="K2615" i="8" s="1"/>
  <c r="J3075" i="8"/>
  <c r="K3075" i="8" s="1"/>
  <c r="J3040" i="8"/>
  <c r="K3040" i="8" s="1"/>
  <c r="J3221" i="8"/>
  <c r="K3221" i="8" s="1"/>
  <c r="J2480" i="8"/>
  <c r="K2480" i="8" s="1"/>
  <c r="J2852" i="8"/>
  <c r="K2852" i="8" s="1"/>
  <c r="J3442" i="8"/>
  <c r="K3442" i="8" s="1"/>
  <c r="J2983" i="8"/>
  <c r="K2983" i="8" s="1"/>
  <c r="J1299" i="8"/>
  <c r="K1299" i="8" s="1"/>
  <c r="J3461" i="8"/>
  <c r="K3461" i="8" s="1"/>
  <c r="J2415" i="8"/>
  <c r="K2415" i="8" s="1"/>
  <c r="J3403" i="8"/>
  <c r="K3403" i="8" s="1"/>
  <c r="J2952" i="8"/>
  <c r="K2952" i="8" s="1"/>
  <c r="J2960" i="8"/>
  <c r="K2960" i="8" s="1"/>
  <c r="J3469" i="8"/>
  <c r="K3469" i="8" s="1"/>
  <c r="J3305" i="8"/>
  <c r="K3305" i="8" s="1"/>
  <c r="J2914" i="8"/>
  <c r="K2914" i="8" s="1"/>
  <c r="J3447" i="8"/>
  <c r="K3447" i="8" s="1"/>
  <c r="J3291" i="8"/>
  <c r="K3291" i="8" s="1"/>
  <c r="J1229" i="8"/>
  <c r="K1229" i="8" s="1"/>
  <c r="J2267" i="8"/>
  <c r="K2267" i="8" s="1"/>
  <c r="J3141" i="8"/>
  <c r="K3141" i="8" s="1"/>
  <c r="J3465" i="8"/>
  <c r="K3465" i="8" s="1"/>
  <c r="J2406" i="8"/>
  <c r="K2406" i="8" s="1"/>
  <c r="J1499" i="8"/>
  <c r="K1499" i="8" s="1"/>
  <c r="J2687" i="8"/>
  <c r="K2687" i="8" s="1"/>
  <c r="J3019" i="8"/>
  <c r="K3019" i="8" s="1"/>
  <c r="J2602" i="8"/>
  <c r="K2602" i="8" s="1"/>
  <c r="J3306" i="8"/>
  <c r="K3306" i="8" s="1"/>
  <c r="J2554" i="8"/>
  <c r="K2554" i="8" s="1"/>
  <c r="J2889" i="8"/>
  <c r="K2889" i="8" s="1"/>
  <c r="J2657" i="8"/>
  <c r="K2657" i="8" s="1"/>
  <c r="J3109" i="8"/>
  <c r="K3109" i="8" s="1"/>
  <c r="J3032" i="8"/>
  <c r="K3032" i="8" s="1"/>
  <c r="J2870" i="8"/>
  <c r="K2870" i="8" s="1"/>
  <c r="J2877" i="8"/>
  <c r="K2877" i="8" s="1"/>
  <c r="J1692" i="8"/>
  <c r="K1692" i="8" s="1"/>
  <c r="J2268" i="8"/>
  <c r="K2268" i="8" s="1"/>
  <c r="J3126" i="8"/>
  <c r="K3126" i="8" s="1"/>
  <c r="J3195" i="8"/>
  <c r="K3195" i="8" s="1"/>
  <c r="J3206" i="8"/>
  <c r="K3206" i="8" s="1"/>
  <c r="J3023" i="8"/>
  <c r="K3023" i="8" s="1"/>
  <c r="J2143" i="8"/>
  <c r="K2143" i="8" s="1"/>
  <c r="J2584" i="8"/>
  <c r="K2584" i="8" s="1"/>
  <c r="J2806" i="8"/>
  <c r="K2806" i="8" s="1"/>
  <c r="J3089" i="8"/>
  <c r="K3089" i="8" s="1"/>
  <c r="J3025" i="8"/>
  <c r="K3025" i="8" s="1"/>
  <c r="J1211" i="8"/>
  <c r="K1211" i="8" s="1"/>
  <c r="J3197" i="8"/>
  <c r="K3197" i="8" s="1"/>
  <c r="J2706" i="8"/>
  <c r="K2706" i="8" s="1"/>
  <c r="J2972" i="8"/>
  <c r="K2972" i="8" s="1"/>
  <c r="J3087" i="8"/>
  <c r="K3087" i="8" s="1"/>
  <c r="J3310" i="8"/>
  <c r="K3310" i="8" s="1"/>
  <c r="J1760" i="8"/>
  <c r="K1760" i="8" s="1"/>
  <c r="J2976" i="8"/>
  <c r="K2976" i="8" s="1"/>
  <c r="J2126" i="8"/>
  <c r="K2126" i="8" s="1"/>
  <c r="J3355" i="8"/>
  <c r="K3355" i="8" s="1"/>
  <c r="J3034" i="8"/>
  <c r="K3034" i="8" s="1"/>
  <c r="J3277" i="8"/>
  <c r="K3277" i="8" s="1"/>
  <c r="J3356" i="8"/>
  <c r="K3356" i="8" s="1"/>
  <c r="J2851" i="8"/>
  <c r="K2851" i="8" s="1"/>
  <c r="J3339" i="8"/>
  <c r="K3339" i="8" s="1"/>
  <c r="J1554" i="8"/>
  <c r="K1554" i="8" s="1"/>
  <c r="J2471" i="8"/>
  <c r="K2471" i="8" s="1"/>
  <c r="J1495" i="8"/>
  <c r="K1495" i="8" s="1"/>
  <c r="J3314" i="8"/>
  <c r="K3314" i="8" s="1"/>
  <c r="J1693" i="8"/>
  <c r="K1693" i="8" s="1"/>
  <c r="J1440" i="8"/>
  <c r="K1440" i="8" s="1"/>
  <c r="J3002" i="8"/>
  <c r="K3002" i="8" s="1"/>
  <c r="J2975" i="8"/>
  <c r="K2975" i="8" s="1"/>
  <c r="J1081" i="8"/>
  <c r="K1081" i="8" s="1"/>
  <c r="J2767" i="8"/>
  <c r="K2767" i="8" s="1"/>
  <c r="J1316" i="8"/>
  <c r="K1316" i="8" s="1"/>
  <c r="J1802" i="8"/>
  <c r="K1802" i="8" s="1"/>
  <c r="J2589" i="8"/>
  <c r="K2589" i="8" s="1"/>
  <c r="J2515" i="8"/>
  <c r="K2515" i="8" s="1"/>
  <c r="J2215" i="8"/>
  <c r="K2215" i="8" s="1"/>
  <c r="J3471" i="8"/>
  <c r="K3471" i="8" s="1"/>
  <c r="J3463" i="8"/>
  <c r="K3463" i="8" s="1"/>
  <c r="J2956" i="8"/>
  <c r="K2956" i="8" s="1"/>
  <c r="J2164" i="8"/>
  <c r="K2164" i="8" s="1"/>
  <c r="J2631" i="8"/>
  <c r="K2631" i="8" s="1"/>
  <c r="J2973" i="8"/>
  <c r="K2973" i="8" s="1"/>
  <c r="J2221" i="8"/>
  <c r="K2221" i="8" s="1"/>
  <c r="J1642" i="8"/>
  <c r="K1642" i="8" s="1"/>
  <c r="J3416" i="8"/>
  <c r="K3416" i="8" s="1"/>
  <c r="J3345" i="8"/>
  <c r="K3345" i="8" s="1"/>
  <c r="J3113" i="8"/>
  <c r="K3113" i="8" s="1"/>
  <c r="J2511" i="8"/>
  <c r="K2511" i="8" s="1"/>
  <c r="J2990" i="8"/>
  <c r="K2990" i="8" s="1"/>
  <c r="J3254" i="8"/>
  <c r="K3254" i="8" s="1"/>
  <c r="J2780" i="8"/>
  <c r="K2780" i="8" s="1"/>
  <c r="J3042" i="8"/>
  <c r="K3042" i="8" s="1"/>
  <c r="J3064" i="8"/>
  <c r="K3064" i="8" s="1"/>
  <c r="J3286" i="8"/>
  <c r="K3286" i="8" s="1"/>
  <c r="J2805" i="8"/>
  <c r="K2805" i="8" s="1"/>
  <c r="J3276" i="8"/>
  <c r="K3276" i="8" s="1"/>
  <c r="J2205" i="8"/>
  <c r="K2205" i="8" s="1"/>
  <c r="J3074" i="8"/>
  <c r="K3074" i="8" s="1"/>
  <c r="J2694" i="8"/>
  <c r="K2694" i="8" s="1"/>
  <c r="K3496" i="8" l="1"/>
  <c r="K3495" i="8" s="1"/>
  <c r="K3502" i="8" s="1"/>
  <c r="N3502" i="8" s="1"/>
  <c r="O3502" i="8" s="1"/>
  <c r="K23" i="8"/>
  <c r="K57" i="8"/>
  <c r="K58" i="8"/>
  <c r="K56" i="8"/>
  <c r="K3384" i="8"/>
  <c r="K3492" i="8"/>
  <c r="K2621" i="8"/>
  <c r="K2541" i="8"/>
  <c r="K2116" i="8"/>
  <c r="K3483" i="8"/>
  <c r="K3273" i="8"/>
  <c r="K3160" i="8"/>
  <c r="K3121" i="8"/>
  <c r="K1076" i="8"/>
  <c r="K425" i="8"/>
  <c r="K2745" i="8"/>
  <c r="K2540" i="8"/>
  <c r="K2224" i="8"/>
  <c r="K556" i="8"/>
  <c r="K991" i="8"/>
  <c r="K2516" i="8"/>
  <c r="K2342" i="8"/>
  <c r="K3476" i="8"/>
  <c r="K2436" i="8"/>
  <c r="K2362" i="8"/>
  <c r="K1638" i="8"/>
  <c r="K1727" i="8"/>
  <c r="K706" i="8"/>
  <c r="K3161" i="8"/>
  <c r="K2122" i="8"/>
  <c r="K1077" i="8"/>
  <c r="K2343" i="8"/>
  <c r="K3190" i="8"/>
  <c r="K2598" i="8"/>
  <c r="K990" i="8"/>
  <c r="K2363" i="8"/>
  <c r="K3431" i="8"/>
  <c r="K2825" i="8"/>
  <c r="K3486" i="8"/>
  <c r="K460" i="8"/>
  <c r="K613" i="8"/>
  <c r="K1639" i="8"/>
  <c r="K2437" i="8"/>
  <c r="K2620" i="8"/>
  <c r="K280" i="8"/>
  <c r="K705" i="8"/>
  <c r="K2225" i="8"/>
  <c r="K1867" i="8"/>
  <c r="K1866" i="8"/>
  <c r="K3105" i="8"/>
  <c r="K3347" i="8"/>
  <c r="K17" i="8" l="1"/>
  <c r="K3497" i="8" s="1"/>
  <c r="K3500" i="8"/>
  <c r="N3501" i="8"/>
  <c r="O3501" i="8" s="1"/>
  <c r="N3500" i="8" l="1"/>
  <c r="O3500" i="8" s="1"/>
  <c r="K3499" i="8"/>
  <c r="N3499" i="8" s="1"/>
  <c r="O3499" i="8" s="1"/>
  <c r="K3504" i="8"/>
  <c r="N3504" i="8" s="1"/>
  <c r="K3505" i="8" l="1"/>
  <c r="N3505" i="8" l="1"/>
  <c r="K3506" i="8"/>
  <c r="N3506" i="8" s="1"/>
  <c r="K3507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Алексей</author>
    <author>Сергей</author>
    <author>Alex</author>
  </authors>
  <commentList>
    <comment ref="C7" authorId="0" shapeId="0" xr:uid="{25D285BA-D156-4957-8515-008935898E5F}">
      <text>
        <r>
          <rPr>
            <b/>
            <sz val="9"/>
            <rFont val="Tahoma"/>
            <family val="2"/>
            <charset val="204"/>
          </rPr>
          <t>ИтогоБИМ::&lt;Всего по расчету(руб./тыс.руб.)&gt;</t>
        </r>
      </text>
    </comment>
    <comment ref="E12" authorId="1" shapeId="0" xr:uid="{0CB15528-4A5B-49C5-B745-D5E668CEAD8E}">
      <text>
        <r>
          <rPr>
            <sz val="8"/>
            <rFont val="Tahoma"/>
            <family val="2"/>
            <charset val="204"/>
          </rPr>
          <t>Титул::&lt;Индекс/ЛН расчета&gt;</t>
        </r>
      </text>
    </comment>
    <comment ref="B22" authorId="2" shapeId="0" xr:uid="{E041E413-9C22-4CA2-A634-46333793E061}">
      <text>
        <r>
          <rPr>
            <b/>
            <sz val="8"/>
            <rFont val="Tahoma"/>
            <family val="2"/>
            <charset val="204"/>
          </rPr>
          <t>СводРасч::&lt;Номер п.п.&gt;</t>
        </r>
      </text>
    </comment>
    <comment ref="C22" authorId="2" shapeId="0" xr:uid="{5683D441-234C-42C0-85F5-37986D13124B}">
      <text>
        <r>
          <rPr>
            <b/>
            <sz val="8"/>
            <rFont val="Tahoma"/>
            <family val="2"/>
            <charset val="204"/>
          </rPr>
          <t>СводРасч::&lt;Номер сметного расчета&gt;</t>
        </r>
      </text>
    </comment>
    <comment ref="D22" authorId="2" shapeId="0" xr:uid="{DEB4A4EC-4C48-456F-84EE-E510D521D23D}">
      <text>
        <r>
          <rPr>
            <b/>
            <sz val="8"/>
            <rFont val="Tahoma"/>
            <family val="2"/>
            <charset val="204"/>
          </rPr>
          <t>СводРасч::&lt;Наименование работ и затрат (глав, объектов)&gt;</t>
        </r>
      </text>
    </comment>
    <comment ref="E22" authorId="2" shapeId="0" xr:uid="{E5126680-A017-4D40-8CF0-A8C63290E4FA}">
      <text>
        <r>
          <rPr>
            <b/>
            <sz val="8"/>
            <rFont val="Tahoma"/>
            <family val="2"/>
            <charset val="204"/>
          </rPr>
          <t>СводРасч::&lt;Строительные работы&gt;
&lt;Формула - Строительные работы&gt;</t>
        </r>
      </text>
    </comment>
    <comment ref="D99" authorId="0" shapeId="0" xr:uid="{CB2C4E3E-F74D-45F2-BD13-A6B1783BAF88}">
      <text>
        <r>
          <rPr>
            <b/>
            <sz val="9"/>
            <rFont val="Tahoma"/>
            <family val="2"/>
            <charset val="204"/>
          </rPr>
          <t>Хвост::&lt;подпись 390 текст&gt;</t>
        </r>
      </text>
    </comment>
    <comment ref="D101" authorId="0" shapeId="0" xr:uid="{A927E195-E577-4431-A845-C8644D5D577F}">
      <text>
        <r>
          <rPr>
            <b/>
            <sz val="9"/>
            <rFont val="Tahoma"/>
            <family val="2"/>
            <charset val="204"/>
          </rPr>
          <t>Хвост::&lt;подпись 230 атрибут 950 текст&gt;</t>
        </r>
      </text>
    </comment>
  </commentList>
</comments>
</file>

<file path=xl/sharedStrings.xml><?xml version="1.0" encoding="utf-8"?>
<sst xmlns="http://schemas.openxmlformats.org/spreadsheetml/2006/main" count="13409" uniqueCount="4238">
  <si>
    <t>Основание для расчета:</t>
  </si>
  <si>
    <t>1.</t>
  </si>
  <si>
    <t>2.</t>
  </si>
  <si>
    <t>3.</t>
  </si>
  <si>
    <t>Наименование работ и затрат</t>
  </si>
  <si>
    <t>Индекс фактической инфляции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</si>
  <si>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</si>
  <si>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</si>
  <si>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Стоимость без учета НДС</t>
  </si>
  <si>
    <t>НДС (20%)</t>
  </si>
  <si>
    <t>Стоимость с учетом НДС</t>
  </si>
  <si>
    <t>Уровень цен утверждённой сметной документации</t>
  </si>
  <si>
    <t>Дата формирования НМЦК</t>
  </si>
  <si>
    <t>Начало строительства</t>
  </si>
  <si>
    <t>Окончание строительства</t>
  </si>
  <si>
    <t>Продолжительность строительства</t>
  </si>
  <si>
    <t>1. Расчет индекса фактической инфляции с использованием ИПЦ Росстата</t>
  </si>
  <si>
    <t>Итого индекс фактической инфляции:</t>
  </si>
  <si>
    <t>2. Расчет индекса прогнозной инфляции</t>
  </si>
  <si>
    <t>Годовые индексы прогнозной инфляции:</t>
  </si>
  <si>
    <t>Ежемесячные индексы прогнозной инфляции:</t>
  </si>
  <si>
    <t>¹²√1,053</t>
  </si>
  <si>
    <t>Индексы прогнозной инфляции на период исполнения контракта:</t>
  </si>
  <si>
    <t>Итого индекс прогнозной инфляции:</t>
  </si>
  <si>
    <t>Заказчик</t>
  </si>
  <si>
    <t>Приложение № 6</t>
  </si>
  <si>
    <t>Утверждено приказом № 421 от 4 августа 2020 г. Минстроя РФ</t>
  </si>
  <si>
    <t>(наименование организации)</t>
  </si>
  <si>
    <t>(ссылка на документ об утверждении)</t>
  </si>
  <si>
    <t>(наименование стройки)</t>
  </si>
  <si>
    <t>Обоснование</t>
  </si>
  <si>
    <t>Наименование глав, объектов капитального строительства, работ и затрат</t>
  </si>
  <si>
    <t>Сметная стоимость, тыс. руб.</t>
  </si>
  <si>
    <t>монтажных работ</t>
  </si>
  <si>
    <t>оборудования</t>
  </si>
  <si>
    <t>прочих затрат</t>
  </si>
  <si>
    <t>всего</t>
  </si>
  <si>
    <t>Глава 2. Основные объекты строительства, реконструкции, капитального ремонта</t>
  </si>
  <si>
    <t>02-01-01</t>
  </si>
  <si>
    <t>Общестроительные работы</t>
  </si>
  <si>
    <t>02-01-02</t>
  </si>
  <si>
    <t>Полы</t>
  </si>
  <si>
    <t>02-01-03</t>
  </si>
  <si>
    <t>Проемы</t>
  </si>
  <si>
    <t>02-01-04</t>
  </si>
  <si>
    <t>02-01-05</t>
  </si>
  <si>
    <t>02-01-06</t>
  </si>
  <si>
    <t>Внутренние сети водоотведения</t>
  </si>
  <si>
    <t>02-01-07</t>
  </si>
  <si>
    <t>Внутренние сети водоснабжения</t>
  </si>
  <si>
    <t>02-01-08</t>
  </si>
  <si>
    <t>02-01-09</t>
  </si>
  <si>
    <t>Вентиляция и дымоудаление</t>
  </si>
  <si>
    <t>02-01-10</t>
  </si>
  <si>
    <t>Внутренние сети электроснабжения</t>
  </si>
  <si>
    <t>02-01-11</t>
  </si>
  <si>
    <t>02-01-12</t>
  </si>
  <si>
    <t>Технологическое оборудование</t>
  </si>
  <si>
    <t>02-01-13</t>
  </si>
  <si>
    <t>Лифтовое оборудование</t>
  </si>
  <si>
    <t>02-01-14</t>
  </si>
  <si>
    <t>02-01-15</t>
  </si>
  <si>
    <t>ИТП и гелиосистема</t>
  </si>
  <si>
    <t>02-01-16</t>
  </si>
  <si>
    <t>Дератизационная система</t>
  </si>
  <si>
    <t>02-01-17</t>
  </si>
  <si>
    <t>Пожарная сигнализация и оповещение людей при пожаре</t>
  </si>
  <si>
    <t>02-01-18</t>
  </si>
  <si>
    <t>Внутренние сети связи</t>
  </si>
  <si>
    <t>Системы инженерно-технической безопасности</t>
  </si>
  <si>
    <t>Итого по Главе 2. "Основные объекты строительства, реконструкции, капитального ремонта"</t>
  </si>
  <si>
    <t>Глава 3. Объекты подсобного и обслуживающего назначения</t>
  </si>
  <si>
    <t>03-01-01</t>
  </si>
  <si>
    <t>Котельная</t>
  </si>
  <si>
    <t>Итого по Главе 3. "Объекты подсобного и обслуживающего назначения"</t>
  </si>
  <si>
    <t>Глава 4. Объекты энергетического хозяйства</t>
  </si>
  <si>
    <t>04-01-01</t>
  </si>
  <si>
    <t>Наружные сети электроснабжения</t>
  </si>
  <si>
    <t>Итого по Главе 4. "Объекты энергетического хозяйства"</t>
  </si>
  <si>
    <t>Глава 5. Объекты транспортного хозяйства и связи</t>
  </si>
  <si>
    <t>05-01-01</t>
  </si>
  <si>
    <t>Внутриплощадочные сети связи</t>
  </si>
  <si>
    <t>Итого по Главе 5. "Объекты транспортного хозяйства и связи"</t>
  </si>
  <si>
    <t>Глава 6. Наружные сети и сооружения водоснабжения, водоотведения, теплоснабжения и газоснабжения</t>
  </si>
  <si>
    <t>06-01-01</t>
  </si>
  <si>
    <t>Наружные сети водоснабжения</t>
  </si>
  <si>
    <t>06-01-02</t>
  </si>
  <si>
    <t>Наружные сети водоотведения</t>
  </si>
  <si>
    <t>06-01-03</t>
  </si>
  <si>
    <t>Наружные сети газоснабжения</t>
  </si>
  <si>
    <t>06-01-04</t>
  </si>
  <si>
    <t>Резервуар противопожарного запаса воды</t>
  </si>
  <si>
    <t>06-01-05</t>
  </si>
  <si>
    <t>Насосная станция пожаротушения</t>
  </si>
  <si>
    <t>06-01-06</t>
  </si>
  <si>
    <t>Локальные очистные сооружения</t>
  </si>
  <si>
    <t>06-01-07</t>
  </si>
  <si>
    <t>Наружные тепловые сети</t>
  </si>
  <si>
    <t>Итого по Главе 6. "Наружные сети и сооружения водоснабжения, водоотведения, теплоснабжения и газоснабжения"</t>
  </si>
  <si>
    <t>Глава 7. Благоустройство и озеленение территории</t>
  </si>
  <si>
    <t>07-01-01</t>
  </si>
  <si>
    <t>Планировка территории</t>
  </si>
  <si>
    <t>07-01-02</t>
  </si>
  <si>
    <t>Малые архитектурные формы</t>
  </si>
  <si>
    <t>07-01-03</t>
  </si>
  <si>
    <t>Ограждение участка</t>
  </si>
  <si>
    <t>07-01-04</t>
  </si>
  <si>
    <t>Навесы</t>
  </si>
  <si>
    <t>Итого по Главе 7. "Благоустройство и озеленение территории"</t>
  </si>
  <si>
    <t>Итого по Главам 1-7</t>
  </si>
  <si>
    <t>Глава 8. Временные здания и сооружения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</si>
  <si>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</si>
  <si>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</si>
  <si>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</si>
  <si>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09-01-01</t>
  </si>
  <si>
    <t>09-01-02</t>
  </si>
  <si>
    <t>09-01-03</t>
  </si>
  <si>
    <t>ПНР насосной станции пожаротушения</t>
  </si>
  <si>
    <t>09-01-04</t>
  </si>
  <si>
    <t>ПНР систем вентиляции</t>
  </si>
  <si>
    <t>09-01-05</t>
  </si>
  <si>
    <t>ПНР лифтового оборудования</t>
  </si>
  <si>
    <t>Итого по Главе 9. "Прочие работы и затраты"</t>
  </si>
  <si>
    <t>Итого по Главам 1-9</t>
  </si>
  <si>
    <t>Итого по Главам 1-12</t>
  </si>
  <si>
    <t>Непредвиденные затраты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</si>
  <si>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</si>
  <si>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</si>
  <si>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</si>
  <si>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НДС - 20%</t>
  </si>
  <si>
    <t>Итого "Налоги и обязательные платежи"</t>
  </si>
  <si>
    <t>Итого по сводному расчету</t>
  </si>
  <si>
    <t>[должность, подпись (инициалы, фамилия)]</t>
  </si>
  <si>
    <t>Расчет начальной (максимальной) цены контракта</t>
  </si>
  <si>
    <t>Основания для расчета:</t>
  </si>
  <si>
    <t>Начальная (максимальная) цена контракта с учетом индекса прогнозной инфляции на период выполнения работ</t>
  </si>
  <si>
    <t>Строительно-монтажные работы</t>
  </si>
  <si>
    <t>Стоимость оборудования</t>
  </si>
  <si>
    <t>Пусконаладочные работы</t>
  </si>
  <si>
    <t>Затраты на осуществление работ вахтовым методом, командирование рабочих, перебазирование строительно-монтажных организаций</t>
  </si>
  <si>
    <t>НМЦК без учета НДС (при наличии)</t>
  </si>
  <si>
    <t>НДС (20 %) (при наличии)</t>
  </si>
  <si>
    <t>НМЦК с учетом НДС (при наличии)</t>
  </si>
  <si>
    <t>УТВЕРЖДАЮ:</t>
  </si>
  <si>
    <t xml:space="preserve">Генеральный директор </t>
  </si>
  <si>
    <t>ГКУ «Инвестстрой Республики Крым»</t>
  </si>
  <si>
    <t>при осуществлении закупок на выполнение подрядных работ на объекте:</t>
  </si>
  <si>
    <t xml:space="preserve">окончание строительно-монтажных работ на объекте: </t>
  </si>
  <si>
    <t>Составил:</t>
  </si>
  <si>
    <t>Проверил:</t>
  </si>
  <si>
    <t xml:space="preserve">Временные здания и сооружения (1,8%) </t>
  </si>
  <si>
    <t>Прочие затраты (Стоимость размещения на полигоне  ТКО Тургенево)</t>
  </si>
  <si>
    <t>Согласовано:</t>
  </si>
  <si>
    <t>Строительство дошкольной образовательной организации в с. Мирновка на 150 мест по ул. Интернациональная Джанкойского района</t>
  </si>
  <si>
    <t>Кровля</t>
  </si>
  <si>
    <t>Отделочные работы</t>
  </si>
  <si>
    <t>Внутренние сети отопления</t>
  </si>
  <si>
    <t>Наружная отделка</t>
  </si>
  <si>
    <t>Временные здания и сооружения, школы, детские сады, ясли, магазины, административные здания, кинотеатры, театры, картинные галереи и другие здания гражданского строительства - 1,8%</t>
  </si>
  <si>
    <t>ПНР системы электроснабжения</t>
  </si>
  <si>
    <t>ПНР систем теплоснабжения</t>
  </si>
  <si>
    <t>09-01-06</t>
  </si>
  <si>
    <t>ПНР котельного оборудования</t>
  </si>
  <si>
    <t>Глава 12. 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</t>
  </si>
  <si>
    <t>Иные прочие работы и затраты (Банковская гарантия)</t>
  </si>
  <si>
    <t>Заключение государственной экспертизы от 05.09.2023 г. № 91-1-1-2-052695-2023</t>
  </si>
  <si>
    <t>Утвержденный сводный сметный расчет стоимости строительства в сумме 
383 303,67 тыс. руб. в ценах на 2 квартал 2023</t>
  </si>
  <si>
    <t>Руководитель проектной организации</t>
  </si>
  <si>
    <t>Главный инженер проекта</t>
  </si>
  <si>
    <t>Начальник отдела</t>
  </si>
  <si>
    <t>Название отдела</t>
  </si>
  <si>
    <t>Составил</t>
  </si>
  <si>
    <t>Проверил</t>
  </si>
  <si>
    <t>Удорожание работ в зимнее время (1,0035%)</t>
  </si>
  <si>
    <r>
      <t xml:space="preserve">Стоимость работ в ценах на дату утверждения сметной документации 
"квартал" 2, 
"год" </t>
    </r>
    <r>
      <rPr>
        <u/>
        <sz val="12"/>
        <rFont val="Times New Roman"/>
        <family val="1"/>
        <charset val="204"/>
      </rPr>
      <t xml:space="preserve">2023 </t>
    </r>
  </si>
  <si>
    <t>Непредвиденные затраты для объектов социальной сферы - 1,0%</t>
  </si>
  <si>
    <t xml:space="preserve">Руководитель проектной организации </t>
  </si>
  <si>
    <t>[подпись (инициалы, фамилия)]</t>
  </si>
  <si>
    <t>Резерв средств на непредвиденные работы и затраты (1,00%)</t>
  </si>
  <si>
    <t>Приказ «Об утверждении изменений, внесенных в проектную документацию по объекту «Строительство дошкольной образовательной организации в с. Мирновка на 150 мест по ул. Интернациональная Джанкойского района» от 15.09.2023 №230</t>
  </si>
  <si>
    <t>ГКУ "Инвестстрой Республики Крым"</t>
  </si>
  <si>
    <t>«____» _______________ 2024 г.</t>
  </si>
  <si>
    <t>II квартал 2023 (Июнь 2023)</t>
  </si>
  <si>
    <t>(наименование объекта)</t>
  </si>
  <si>
    <t>№пп</t>
  </si>
  <si>
    <t>Наименование конструктивных решений (элементов), комплексов (видов) работ</t>
  </si>
  <si>
    <t>Единица измерения</t>
  </si>
  <si>
    <t>Количество (объем работ)</t>
  </si>
  <si>
    <t xml:space="preserve">Цена </t>
  </si>
  <si>
    <t>Номер сметы</t>
  </si>
  <si>
    <t>На единицу измерения</t>
  </si>
  <si>
    <t>Всего</t>
  </si>
  <si>
    <t>ЛС 02-01-01 Поз.: 1-118.2</t>
  </si>
  <si>
    <t>1000 м3</t>
  </si>
  <si>
    <t>ТЕР01-02-057-02</t>
  </si>
  <si>
    <t>Разработка грунта вручную в траншеях глубиной до 2 м без креплений с откосами, группа грунтов: 2</t>
  </si>
  <si>
    <t>100 м3</t>
  </si>
  <si>
    <t>ТЕР01-01-033-02</t>
  </si>
  <si>
    <t>Засыпка траншей и котлованов с перемещением грунта до 5 м бульдозерами мощностью: 59 кВт (80 л.с.), группа грунтов 2</t>
  </si>
  <si>
    <t>ТЕР01-02-061-02</t>
  </si>
  <si>
    <t>Засыпка вручную траншей, пазух котлованов и ям, группа грунтов: 2</t>
  </si>
  <si>
    <t>ТЕР01-02-005-01</t>
  </si>
  <si>
    <t>Уплотнение грунта пневматическими трамбовками, группа грунтов: 1-2</t>
  </si>
  <si>
    <t>ТЕР46-08-003-03</t>
  </si>
  <si>
    <t>Приготовление двухкомпонентных составов серии MASTERSEAL</t>
  </si>
  <si>
    <t>м3</t>
  </si>
  <si>
    <t>ТЕР13-03-006-02</t>
  </si>
  <si>
    <t>100 м2</t>
  </si>
  <si>
    <t>ТССЦ-14.2.03.06-0005</t>
  </si>
  <si>
    <t>Покрытие эластичное полимерцементное двухкомпонентное MASTERSEAL 588, компонент 1, цвет белый, серый, светло- серый</t>
  </si>
  <si>
    <t>кг</t>
  </si>
  <si>
    <t>ТССЦ-14.2.03.06-0006</t>
  </si>
  <si>
    <t>Покрытие эластичное полимерцементное двухкомпонентное MASTERSEAL 588, компонент 2</t>
  </si>
  <si>
    <t>л</t>
  </si>
  <si>
    <t>ТЕР07-05-011-02</t>
  </si>
  <si>
    <t>Установка панелей перекрытий с опиранием: по контуру площадью до 15 м2</t>
  </si>
  <si>
    <t>100 шт</t>
  </si>
  <si>
    <t>ТССЦ-05.1.06.04-1361</t>
  </si>
  <si>
    <t>Плиты перекрытия многопустотные: 1ПК90-12-8АтV /бетон В30 (М400), объем 1,28 м3, расход арматуры 122,15 кг/ (серия 1.241-1 вып. 39)</t>
  </si>
  <si>
    <t>шт</t>
  </si>
  <si>
    <t>ТЕР06-01-041-12</t>
  </si>
  <si>
    <t>Устройство перекрытий по стальным балкам и монолитных участков при сборном железобетонном перекрытии площадью: более 5 м2 приведенной толщиной до 200 мм</t>
  </si>
  <si>
    <t>ТССЦ-04.1.02.01-0009</t>
  </si>
  <si>
    <t>Бетон мелкозернистый, класс: В25 (М350)</t>
  </si>
  <si>
    <t>ТССЦ-08.4.03.02-0002</t>
  </si>
  <si>
    <t>Горячекатаная арматурная сталь гладкая класса А-I, диаметром: 8 мм</t>
  </si>
  <si>
    <t>т</t>
  </si>
  <si>
    <t>ТССЦ-08.4.03.03-0005</t>
  </si>
  <si>
    <t>Горячекатанная арматурная сталь класса А500 С, диаметром: 14 мм</t>
  </si>
  <si>
    <t>ТЕР06-01-111-01</t>
  </si>
  <si>
    <t>Устройство лестничных маршей в опалубке типа "Дока": прямоугольных</t>
  </si>
  <si>
    <t>ТССЦ-04.1.02.05-0009</t>
  </si>
  <si>
    <t>Бетон тяжелый, класс: В25 (М350)</t>
  </si>
  <si>
    <t>ТССЦ-04.1.02.02-0009</t>
  </si>
  <si>
    <t>Бетон тяжелый для гидротехнических сооружений (на сульфатостойком портландцементе), класс: В25 (М350)</t>
  </si>
  <si>
    <t>Тех.часть прил.15 таб.1,2</t>
  </si>
  <si>
    <t>ТССЦ-08.4.03.03-0004</t>
  </si>
  <si>
    <t>Горячекатанная арматурная сталь класса А500 С, диаметром: 12 мм</t>
  </si>
  <si>
    <t>ТССЦ-08.4.03.03-0007</t>
  </si>
  <si>
    <t>Горячекатанная арматурная сталь класса А500 С, диаметром: 18 мм</t>
  </si>
  <si>
    <t>ТЕР08-03-004-01</t>
  </si>
  <si>
    <t>Кладка стен из газобетонных блоков на клее без облицовки толщиной: 400 мм при высоте этажа до 4 м</t>
  </si>
  <si>
    <t>ТССЦ-08.4.03.03-0031</t>
  </si>
  <si>
    <t>Горячекатаная арматурная сталь периодического профиля класса: А-III, диаметром 10 мм</t>
  </si>
  <si>
    <t>ТССЦ-08.4.02.06-0003</t>
  </si>
  <si>
    <t>Сетка сварная из холоднотянутой проволоки 4-5 мм</t>
  </si>
  <si>
    <t>ТССЦ-05.2.02.09-0017</t>
  </si>
  <si>
    <t>Блоки из ячеистых бетонов стеновые 1 категории, объемная масса: 600 кг/м3, класс В 3,5</t>
  </si>
  <si>
    <t>ТССЦ-14.1.06.04-0008</t>
  </si>
  <si>
    <t>Клей монтажный «БОЛАРС» для укладки ячеистых блоков</t>
  </si>
  <si>
    <t>ТЕР46-03-013-45</t>
  </si>
  <si>
    <t>Сверление горизонтальных отверстий в бетонных конструкциях стен перфоратором глубиной 200 мм диаметром: 20 мм</t>
  </si>
  <si>
    <t>ТЕР46-03-013-58</t>
  </si>
  <si>
    <t>ТССЦ-01.7.15.01-0001</t>
  </si>
  <si>
    <t>ТЕР26-01-041-01</t>
  </si>
  <si>
    <t>Изоляция изделиями из пенопласта на битуме холодных поверхностей: стен и колонн прямоугольных</t>
  </si>
  <si>
    <t>ТССЦ-14.5.01.05-0001</t>
  </si>
  <si>
    <t>Герметик пенополиуретановый (пена монтажная) типа Makrofleks, Soudal в баллонах по 750 мл</t>
  </si>
  <si>
    <t>ТССЦ-12.2.05.09-0007</t>
  </si>
  <si>
    <t>Пенополистирол экструдированный ТЕХНОНИКОЛЬ XPS 45- 500</t>
  </si>
  <si>
    <t>ТЕР08-04-003-01</t>
  </si>
  <si>
    <t>Кладка перегородок из газобетонных блоков на клее толщиной: 100 мм при высоте этажа до 4 м</t>
  </si>
  <si>
    <t>ТССЦ-05.2.02.09-0013</t>
  </si>
  <si>
    <t>Блоки из ячеистых бетонов стеновые 1 категории, объемная масса: 500 кг/м3, класс В 2,5</t>
  </si>
  <si>
    <t>ТЕР07-01-058-01</t>
  </si>
  <si>
    <t>Усиление сборных железобетонных конструкций: установкой каркасов, сеток и стержневой арматуры</t>
  </si>
  <si>
    <t>ТССЦ-07.2.07.12-0003</t>
  </si>
  <si>
    <t>Конструктивные элементы вспомогательного назначения: массой не более 50 кг с преобладанием толстолистовой стали собираемые из двух и более деталей, с отверстиями и без отверстий, соединяемые на сварке</t>
  </si>
  <si>
    <t>ТССЦ-07.2.07.12-0006</t>
  </si>
  <si>
    <t>Конструктивные элементы вспомогательного назначения: с преобладанием профильного проката собираемые из двух и более деталей, с отверстиями и без отверстий, соединяемые на сварке</t>
  </si>
  <si>
    <t>ТЕР09-03-012-12</t>
  </si>
  <si>
    <t>Монтаж опорных стоек для пролетов: до 24 м</t>
  </si>
  <si>
    <t>ТЕР08-04-003-03</t>
  </si>
  <si>
    <t>Кладка перегородок из газобетонных блоков на клее толщиной: 200 мм при высоте этажа до 4 м</t>
  </si>
  <si>
    <t>ТЕР06-01-035-01</t>
  </si>
  <si>
    <t>Устройство поясов: в опалубке</t>
  </si>
  <si>
    <t>ТССЦ-08.4.03.02-0001</t>
  </si>
  <si>
    <t>Горячекатаная арматурная сталь гладкая класса А-I, диаметром: 6 мм</t>
  </si>
  <si>
    <t>ТССЦ-08.4.03.03-0003</t>
  </si>
  <si>
    <t>Горячекатанная арматурная сталь класса А500 С, диаметром: 10 мм</t>
  </si>
  <si>
    <t>ТЕР06-01-015-07</t>
  </si>
  <si>
    <t>Установка закладных деталей весом: до 4 кг</t>
  </si>
  <si>
    <t>ТССЦ-08.4.01.02-0013</t>
  </si>
  <si>
    <t>Детали закладные и накладные изготовленные: с применением сварки, гнутья, сверления (пробивки) отверстий (при наличии одной из этих операций или всего перечня в любых сочетаниях) поставляемые отдельно</t>
  </si>
  <si>
    <t>ТЕР12-01-008-02</t>
  </si>
  <si>
    <t>Устройство обделок на фасадах (наружные подоконники, пояски, балконы и др.): без водосточных труб (обшивка стен вентканалов)</t>
  </si>
  <si>
    <t>ТССЦ-08.3.05.05-0053</t>
  </si>
  <si>
    <t>Сталь листовая оцинкованная толщиной листа: 0,7 мм</t>
  </si>
  <si>
    <t>ТССЦ-08.3.09.05-0044</t>
  </si>
  <si>
    <t>Профили холодногнутые из оцинкованной стали толщиной: 0,6-0,65 мм, сумма размеров равная ширине исходной заготовки 151-200 мм</t>
  </si>
  <si>
    <t>СтройКомплект Ч.5 стр.212</t>
  </si>
  <si>
    <t>Профиль Г-образный оцинкованный 40х40 толщ. 1мм</t>
  </si>
  <si>
    <t>ТССЦ-08.1.02.25-0082</t>
  </si>
  <si>
    <t>Костыль кровельный из оцинкованной стали размером 4х40х400 мм</t>
  </si>
  <si>
    <t>ТЕР06-01-001-01</t>
  </si>
  <si>
    <t>Устройство бетонной подготовки</t>
  </si>
  <si>
    <t>ТССЦ-04.1.02.01-0003</t>
  </si>
  <si>
    <t>Бетон мелкозернистый, класс: В7,5 (М100)</t>
  </si>
  <si>
    <t>ТЕР06-01-001-22</t>
  </si>
  <si>
    <t>Устройство ленточных фундаментов: железобетонных при ширине по верху до 1000 мм</t>
  </si>
  <si>
    <t>ТЕР06-01-001-16</t>
  </si>
  <si>
    <t>Устройство фундаментных плит железобетонных: плоских</t>
  </si>
  <si>
    <t>ТЕР06-01-004-05</t>
  </si>
  <si>
    <t>Устройство: железобетонных пандусов</t>
  </si>
  <si>
    <t>Гидроизоляция поверхности бетонных и железобетонных конструкций в два слоя защитными покрытиями серии MASTERSEAL: горизонтальной ( днище по бетонной подготовке)</t>
  </si>
  <si>
    <t>ТЕР09-03-014-01</t>
  </si>
  <si>
    <t>Монтаж связей и распорок из одиночных и парных уголков, гнутосварных профилей для пролетов: до 24 м при высоте здания до 25 м</t>
  </si>
  <si>
    <t>ТССЦ-07.2.07.12-0019</t>
  </si>
  <si>
    <t>Отдельные конструктивные элементы зданий и сооружений с преобладанием: горячекатаных профилей, средняя масса сборочной единицы до 0,1 т</t>
  </si>
  <si>
    <t>ТССЦ-08.3.07.01-0076</t>
  </si>
  <si>
    <t>Сталь полосовая, марка стали: Ст3сп шириной 50-200 мм толщиной 4-5 мм</t>
  </si>
  <si>
    <t>ТЕР09-04-002-01</t>
  </si>
  <si>
    <t>Монтаж кровельного покрытия: из профилированного листа при высоте здания до 25 м</t>
  </si>
  <si>
    <t>ТССЦ-08.3.09.02-0010</t>
  </si>
  <si>
    <t>Профилированный лист оцинкованный окрашенный: Н60-845-0,8</t>
  </si>
  <si>
    <t>ТЕР13-03-004-06</t>
  </si>
  <si>
    <t>Окраска металлических огрунтованных поверхностей: эмалью ХВ-124</t>
  </si>
  <si>
    <t>ТЕР23-01-001-02</t>
  </si>
  <si>
    <t>Устройство основания под трубопроводы: щебеночного</t>
  </si>
  <si>
    <t>10 м3</t>
  </si>
  <si>
    <t>ТССЦ-02.2.05.04-0081</t>
  </si>
  <si>
    <t>Щебень из природного камня для строительных работ марка: 400, фракция 10-20 мм</t>
  </si>
  <si>
    <t>ТССЦ-02.2.05.04-0082</t>
  </si>
  <si>
    <t>Щебень из природного камня для строительных работ марка: 400, фракция 20-40 мм</t>
  </si>
  <si>
    <t>ТССЦ-23.5.02.02-0011</t>
  </si>
  <si>
    <t>Трубы стальные электросварные прямошовные диаметром: 50-80 мм</t>
  </si>
  <si>
    <t>ТЕР06-01-024-03</t>
  </si>
  <si>
    <t>Устройство стен подвалов и подпорных стен железобетонных высотой: до 3 м, толщиной до 300 мм</t>
  </si>
  <si>
    <t>ТЕРм38-01-006-08</t>
  </si>
  <si>
    <t>Сборка с помощью лебедок ручных (с установкой и снятием их в процессе работы) или вручную (мелких деталей): стремянки, связи, кронштейны, тормозные конструкции и пр.</t>
  </si>
  <si>
    <t>ТССЦ-08.3.08.02-0085</t>
  </si>
  <si>
    <t>Сталь угловая равнополочная, марка стали: Ст3сп, шириной полок 75-90 мм</t>
  </si>
  <si>
    <t>ТССЦ-23.3.08.01-0044</t>
  </si>
  <si>
    <t>Трубы стальные квадратные (ГОСТ 8639-82) размером: 50х50 мм, толщина стенки 4 мм</t>
  </si>
  <si>
    <t>м</t>
  </si>
  <si>
    <t>ТССЦ-08.3.05.02-0056</t>
  </si>
  <si>
    <t>Сталь листовая горячекатаная марки Ст3 толщиной: 4,0 мм</t>
  </si>
  <si>
    <t>ТССЦ-01.7.04.09-0012</t>
  </si>
  <si>
    <t>Петля накладная</t>
  </si>
  <si>
    <t>ТЕР08-02-007-03</t>
  </si>
  <si>
    <t>Установка металлических решеток приямков</t>
  </si>
  <si>
    <t>ТЕР13-03-002-04</t>
  </si>
  <si>
    <t>Огрунтовка металлических поверхностей за один раз: грунтовкой ГФ-021</t>
  </si>
  <si>
    <t>ТЕР08-01-002-02</t>
  </si>
  <si>
    <t>Устройство основания под фундаменты: щебеночного, толщиной 150мм</t>
  </si>
  <si>
    <t>ТССЦ-02.2.05.04-0089</t>
  </si>
  <si>
    <t>Щебень из природного камня для строительных работ марка: 600, фракция 40-70 мм</t>
  </si>
  <si>
    <t>Устройство бетонной подготовки, толщиной 100мм</t>
  </si>
  <si>
    <t>ТССЦ-04.1.02.05-0003</t>
  </si>
  <si>
    <t>Бетон тяжелый, класс: В7,5 (М100)</t>
  </si>
  <si>
    <t>ООО "Крепкон" Ч.4 стр.157</t>
  </si>
  <si>
    <t>м.п.</t>
  </si>
  <si>
    <t>ТЕР07-05-016-04</t>
  </si>
  <si>
    <t>Устройство металлических ограждений: без поручней</t>
  </si>
  <si>
    <t>100 м</t>
  </si>
  <si>
    <t>Бауцентр ч.6 стр.28</t>
  </si>
  <si>
    <t>Заглушка пластиковая Цена=(13,00)</t>
  </si>
  <si>
    <t>ТЕР46-03-014-01</t>
  </si>
  <si>
    <t>Сверление вертикальных отверстий в железобетонных конструкциях полов перфоратором глубиной 200 мм диаметром: 20 мм</t>
  </si>
  <si>
    <t>ТЕР46-03-014-14</t>
  </si>
  <si>
    <t>ТЕР06-01-015-01</t>
  </si>
  <si>
    <t>Установка анкерных болтов: в готовые гнезда с заделкой длиной до 1 м</t>
  </si>
  <si>
    <t>ТССЦ-08.4.01.01-0022</t>
  </si>
  <si>
    <t>Анкерные детали из прямых или гнутых круглых стержней с резьбой (в комплекте с шайбами и гайками или без них),: поставляемые отдельно</t>
  </si>
  <si>
    <t>ТССЦ-01.7.15.02-0040</t>
  </si>
  <si>
    <t>Болт анкерный с гайкой, размер: 12,0x100 мм</t>
  </si>
  <si>
    <t>ТЕР15-01-090-02</t>
  </si>
  <si>
    <t>Устройство вентилируемых фасадов с облицовкой панелями из композитных материалов: без теплоизоляционного слоя</t>
  </si>
  <si>
    <t>ООО "Симметрия" ч.6 стр.29</t>
  </si>
  <si>
    <t>Панель стальная оцинкованная, окрашенная Ц=235</t>
  </si>
  <si>
    <t>м2</t>
  </si>
  <si>
    <t>ТССЦ-07.2.05.01-0032</t>
  </si>
  <si>
    <t>Ограждения лестничных проемов, лестничные марши, пожарные лестницы</t>
  </si>
  <si>
    <t>ООО"Крепкон" Ч.4 стр.158</t>
  </si>
  <si>
    <t>ЛС 02-01-02 Поз.: 5-68.2</t>
  </si>
  <si>
    <t>ТЕР11-01-011-08</t>
  </si>
  <si>
    <t>Устройство стяжек: из выравнивающей смеси типа "Ветонит" 5000, толщиной 5 мм</t>
  </si>
  <si>
    <t>ТЕР11-01-009-01</t>
  </si>
  <si>
    <t>Устройство тепло- и звукоизоляции сплошной из плит: или матов минераловатных или стекловолокнистых</t>
  </si>
  <si>
    <t>ТССЦ-12.2.05.10-0014</t>
  </si>
  <si>
    <t>Плиты минераловатные "Флор Баттс" ROCKWOOL</t>
  </si>
  <si>
    <t>ТЕР11-01-011-01</t>
  </si>
  <si>
    <t>Устройство стяжек: цементных толщиной 20 мм</t>
  </si>
  <si>
    <t>ТССЦ-04.3.01.09-0015</t>
  </si>
  <si>
    <t>Раствор готовый кладочный цементный марки: 150</t>
  </si>
  <si>
    <t>ТЕР11-01-011-02</t>
  </si>
  <si>
    <t>Устройство стяжек: на каждые 5 мм изменения толщины стяжки добавлять или исключать к расценке 11-01-011-01</t>
  </si>
  <si>
    <t>ТЕР06-01-015-10</t>
  </si>
  <si>
    <t>Армирование подстилающих слоев и набетонок</t>
  </si>
  <si>
    <t>ТССЦ-08.1.02.17-0091</t>
  </si>
  <si>
    <t>Сетка сварная из арматурной проволоки диаметром: 4,0 мм, без покрытия, 100х100 мм</t>
  </si>
  <si>
    <t>ТЕР11-01-027-06</t>
  </si>
  <si>
    <t>Устройство покрытий на растворе из сухой смеси с приготовлением раствора в построечных условиях из плиток: гладких неглазурованных керамических для полов одноцветных</t>
  </si>
  <si>
    <t>ТССЦ-06.2.02.01-0071</t>
  </si>
  <si>
    <t>Плитки керамические для полов гладкие неглазурованные одноцветные с красителем квадратные и прямоугольные</t>
  </si>
  <si>
    <t>Наш Мир Ч.6 стр.179</t>
  </si>
  <si>
    <t>ТЕР11-01-036-03</t>
  </si>
  <si>
    <t>Устройство покрытий: из линолеума насухо из готовых ковров на комнату- (прим. Направляющая тактильная лента )</t>
  </si>
  <si>
    <t>АнтиСлип  Ч.6 стр.174</t>
  </si>
  <si>
    <t>ТЕР11-01-011-10</t>
  </si>
  <si>
    <t>ТЕР11-01-004-09</t>
  </si>
  <si>
    <t>Устройство гидроизоляции обмазочной: в один слой праймером</t>
  </si>
  <si>
    <t>ТССЦ-01.3.01.03-0002</t>
  </si>
  <si>
    <t>Керосин для технических целей марок КТ-1, КТ-2</t>
  </si>
  <si>
    <t>ТССЦ-01.2.01.02-0054</t>
  </si>
  <si>
    <t>Битумы нефтяные строительные марки: БН-90/10</t>
  </si>
  <si>
    <t>Броня Ч.2 стр.224</t>
  </si>
  <si>
    <t>Броня Ч2. стр.225</t>
  </si>
  <si>
    <t>ТЕР11-01-050-01</t>
  </si>
  <si>
    <t>Устройство пароизоляции из полиэтиленовой пленки в один слой насухо</t>
  </si>
  <si>
    <t>ТССЦ-01.7.07.12-0022</t>
  </si>
  <si>
    <t>Пленка полиэтиленовая толщиной: 0,2-0,5 мм</t>
  </si>
  <si>
    <t>ТССЦ-12.2.03.12-0001</t>
  </si>
  <si>
    <t>Фольга алюминиевая: для тепло- и гидроизоляции рулонная, толщиной 0,1-0,2 мм</t>
  </si>
  <si>
    <t>ТЕР11-01-036-01</t>
  </si>
  <si>
    <t>Устройство покрытий из линолеума на клее</t>
  </si>
  <si>
    <t>ТССЦ-01.6.03.04-0115</t>
  </si>
  <si>
    <t>Линолеум коммерческий гомогенный: "ТАРКЕТТ iQ GRANIT ACOUSTIC", акустический (толщина 4 мм, класс 34/43, пож. безопасность Г4, В3, РП2, Д2, Т2)</t>
  </si>
  <si>
    <t>ТССЦ-14.1.02.04-0102</t>
  </si>
  <si>
    <t>Клей Forbo 522, для укладки ПВХ-покрытий</t>
  </si>
  <si>
    <t>Гидроизоляция поверхности бетонных и железобетонных конструкций в два слоя защитными покрытиями серии MASTERSEAL: горизонтальной (толщина 2мм)</t>
  </si>
  <si>
    <t>ТССЦ-14.2.03.05-0002</t>
  </si>
  <si>
    <t>Покрытие жесткое гидроизоляционное на цементной основе MASTERSEAL 531 (расход: 3кг на 1м2 при толщине слоя 2мм)</t>
  </si>
  <si>
    <t>ТЕР11-01-040-03</t>
  </si>
  <si>
    <t>Устройство плинтусов поливинилхлоридных: на винтах самонарезающих</t>
  </si>
  <si>
    <t>ТССЦ-11.3.03.06-0001</t>
  </si>
  <si>
    <t>Плинтуса для полов пластиковые, 19х48 мм</t>
  </si>
  <si>
    <t>ТССЦ-11.3.03.14-0001</t>
  </si>
  <si>
    <t>Заглушка торцевая для пластикового плинтуса левая, высота 48 мм</t>
  </si>
  <si>
    <t>ТССЦ-11.3.03.14-0011</t>
  </si>
  <si>
    <t>Заглушки торцевая для пластикового плинтуса правая, высота 48 мм</t>
  </si>
  <si>
    <t>ТССЦ-11.3.03.14-0021</t>
  </si>
  <si>
    <t>Соединитель для пластикового плинтуса, высота 48 мм</t>
  </si>
  <si>
    <t>ТССЦ-11.3.03.14-0031</t>
  </si>
  <si>
    <t>Уголок внутренний для пластикового плинтуса, высота 48 мм</t>
  </si>
  <si>
    <t>ТССЦ-11.3.03.14-0033</t>
  </si>
  <si>
    <t>Уголок наружный для пластикового плинтуса, высота 48 мм</t>
  </si>
  <si>
    <t>ТЕР11-01-039-04</t>
  </si>
  <si>
    <t>Устройство плинтусов: из плиток керамических (для всех полов из керамической плитки)</t>
  </si>
  <si>
    <t>ТССЦ-14.1.06.02-0037</t>
  </si>
  <si>
    <t>Клей плиточный «Старатель-стандарт» (расход на 1м2-4кг )</t>
  </si>
  <si>
    <t>ТССЦ-06.2.05.03-0031</t>
  </si>
  <si>
    <t>Плитки керамические плинтусные прямые</t>
  </si>
  <si>
    <t>ЛС 02-01-03 Поз.: 1-10.5</t>
  </si>
  <si>
    <t>ТЕР10-01-034-06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</si>
  <si>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двухстворчатых (ОК1,ОК2,ОК3,ОК4)</t>
  </si>
  <si>
    <t>ТССЦ-11.3.02.01-0021</t>
  </si>
  <si>
    <t>Блок оконный пластиковый: двустворчатый, с глухой и поворотно-откидной створкой, однокамерным стеклопакетом (24 мм), площадью более 3,5 м2 (ОК1,ОК2,ОК4)</t>
  </si>
  <si>
    <t>ТССЦ-11.3.02.01-0027</t>
  </si>
  <si>
    <t>Блок оконный пластиковый: двустворчатый, с глухой и поворотно-откидной створкой, однокамерным стеклопакетом (24 мм), площадью до 3,5 м2 (ОК3)</t>
  </si>
  <si>
    <t>ТЕР10-01-034-05</t>
  </si>
  <si>
    <t>Установка в жилых и общественных зданиях оконных блоков из ПВХ профилей: поворотных (откидных, поворотно-откидных) с площадью проема до 2 м2 двухстворчатых (ОК5,ОК6)</t>
  </si>
  <si>
    <t>ТССЦ-11.3.02.01-0023</t>
  </si>
  <si>
    <t>Блок оконный пластиковый: двустворчатый, с глухой и поворотно-откидной створкой, однокамерным стеклопакетом (24 мм), площадью до 1,5 м2 (ОК5,ОК6)</t>
  </si>
  <si>
    <t>ТЕР10-01-034-03</t>
  </si>
  <si>
    <t>Установка в жилых и общественных зданиях оконных блоков из ПВХ профилей: поворотных (откидных, поворотно-откидных) с площадью проема до 2 м2 одностворчатых (ОК7)</t>
  </si>
  <si>
    <t>ТССЦ-11.3.02.02-0018</t>
  </si>
  <si>
    <t>Блок оконный пластиковый: одностворчатый, с поворотно-откидной створкой, однокамерным стеклопакетом (24 мм), площадью до 1,5 м2 (ОК7)</t>
  </si>
  <si>
    <t>ТЕР10-01-033-02</t>
  </si>
  <si>
    <t>Установка деревянных подоконных досок в каменных стенах высотой проема: до 2 м</t>
  </si>
  <si>
    <t>ТССЦ-11.1.01.06-0006</t>
  </si>
  <si>
    <t>Доски подоконные из древесины облицованные сверхтвердой древесноволокнистой плитой или водостойкой фанерой марка: ПД-3, толщиной 28 мм, шириной 400 мм</t>
  </si>
  <si>
    <t>ТЕР10-01-047-02</t>
  </si>
  <si>
    <t>Установка блоков из ПВХ в наружных и внутренних дверных проемах: в каменных стенах площадью проема более 3 м2</t>
  </si>
  <si>
    <t>ТССЦ-11.3.01.01-0021</t>
  </si>
  <si>
    <t>Блоки дверные входные пластиковые: с простой коробкой, двупольная с офисной фурнитурой, с однокамерным стеклопакетом (24 мм), площадь более 3,5 м2</t>
  </si>
  <si>
    <t>ТЕР10-01-047-01</t>
  </si>
  <si>
    <t>Установка блоков из ПВХ в наружных и внутренних дверных проемах: в каменных стенах площадью проема до 3 м2</t>
  </si>
  <si>
    <t>ТССЦ-11.3.01.01-0023</t>
  </si>
  <si>
    <t>Блоки дверные входные пластиковые: с простой коробкой, двупольная с офисной фурнитурой, с однокамерным стеклопакетом (24 мм), площадь от 2,5-3 м2</t>
  </si>
  <si>
    <t>ТССЦ-11.3.01.02-0012</t>
  </si>
  <si>
    <t>Блоки дверные входные пластиковые: с простой коробкой, однопольная с офисной фурнитурой, без стеклопакета по типу сэндвич, площадь от 1,5-2 м2</t>
  </si>
  <si>
    <t>ТССЦ-11.3.01.02-0010</t>
  </si>
  <si>
    <t>Блоки дверные входные пластиковые: с простой коробкой, однопольная с офисной фурнитурой, без стеклопакета по типу сэндвич, площадь более 2 м2 (Д8)</t>
  </si>
  <si>
    <t>ТЕР10-01-060-01</t>
  </si>
  <si>
    <t>Установка и крепление наличников</t>
  </si>
  <si>
    <t>ТССЦ-11.1.01.10-0001</t>
  </si>
  <si>
    <t>Наличники из древесины типа: Н-1, Н-2 размером 13х34 мм</t>
  </si>
  <si>
    <t>ТЕР09-04-013-04</t>
  </si>
  <si>
    <t>Установка противопожарных дверей: двупольных остекленных (Д3)</t>
  </si>
  <si>
    <t>ЗОК Гигант Ч.7 стр.203</t>
  </si>
  <si>
    <t>ТЕР09-04-013-01</t>
  </si>
  <si>
    <t>Установка противопожарных дверей: однопольных глухих</t>
  </si>
  <si>
    <t>Ч1 стр.298 Сталь Строй Техно</t>
  </si>
  <si>
    <t>ТЕР09-04-012-01</t>
  </si>
  <si>
    <t>Установка металлических дверных блоков в готовые проемы (Д1,Д2,Д12)</t>
  </si>
  <si>
    <t>Ч.7 стр.221 Противопожарные Преграды</t>
  </si>
  <si>
    <t>Ч.7 стр.220 ЗОК Гигант</t>
  </si>
  <si>
    <t>Ч.4 стр.168 Фасадные Системы</t>
  </si>
  <si>
    <t>ТССЦ-01.7.04.07-0002</t>
  </si>
  <si>
    <t>Скобяные изделия для блоков входных дверей в: помещение двупольных</t>
  </si>
  <si>
    <t>компл.</t>
  </si>
  <si>
    <t>ТССЦ-01.7.04.01-0002</t>
  </si>
  <si>
    <t>Доводчик дверной гидравлический TS-68 с зубчатым приводом (нагрузка до 90 кг)</t>
  </si>
  <si>
    <t>ЛС 02-01-04 Поз.: 1-27.2</t>
  </si>
  <si>
    <t>ТЕР12-01-017-01</t>
  </si>
  <si>
    <t>Устройство выравнивающих стяжек: цементно-песчаных толщиной 15 мм</t>
  </si>
  <si>
    <t>ТЕР12-01-017-02</t>
  </si>
  <si>
    <t>ТЕР12-01-015-03</t>
  </si>
  <si>
    <t>Устройство пароизоляции: прокладочной в один слой</t>
  </si>
  <si>
    <t>ТССЦ-12.1.02.06-0022</t>
  </si>
  <si>
    <t>Рубероид кровельный с пылевидной посыпкой марки РКП- 350б</t>
  </si>
  <si>
    <t>ТССЦ-12.1.02.03-0025</t>
  </si>
  <si>
    <t>Биполь: ЭПП</t>
  </si>
  <si>
    <t>ТЕР12-01-013-05</t>
  </si>
  <si>
    <t>Утепление покрытий плитами: из легких (ячеистых) бетонов или фибролита насухо</t>
  </si>
  <si>
    <t>ТССЦ-12.2.05.10-0005</t>
  </si>
  <si>
    <t>Плиты минераловатные "Руф Баттс С" ROCKWOOL</t>
  </si>
  <si>
    <t>Утепление покрытий плитами: из легких (ячеистых) бетонов или фибролита насухо (дополнительный слой , разуклонка)</t>
  </si>
  <si>
    <t>Ч.2 стр.209 ООО "ЦСК"</t>
  </si>
  <si>
    <t>Ч.2 стр.206 ООО "ЦСК"</t>
  </si>
  <si>
    <t>Ч.2 стр.207 ООО "ЦСК"</t>
  </si>
  <si>
    <t>Ч.2 стр.208 ООО "ЦСК"</t>
  </si>
  <si>
    <t>Ч.2 стр.205 ООО "ЦСК"</t>
  </si>
  <si>
    <t>Ч.2 стр.204 ООО "ЦСК"</t>
  </si>
  <si>
    <t>ТССЦ-01.7.12.05-0036</t>
  </si>
  <si>
    <t>Нетканый геотекстиль: Typar SF 65</t>
  </si>
  <si>
    <t>ТССЦ-08.1.02.17-0088</t>
  </si>
  <si>
    <t>Сетка сварная из арматурной проволоки диаметром: 3,0 мм, без покрытия, 200х200 мм</t>
  </si>
  <si>
    <t>ТЕР12-01-016-02</t>
  </si>
  <si>
    <t>Огрунтовка оснований из бетона или раствора под водоизоляционный кровельный ковер: готовой эмульсией битумной</t>
  </si>
  <si>
    <t>ТЕР12-01-002-10</t>
  </si>
  <si>
    <t>Устройство кровель плоских из наплавляемых материалов: в один слой</t>
  </si>
  <si>
    <t>Ч.2 стр.217 Технология Кровли</t>
  </si>
  <si>
    <t>ТССЦ-25.1.03.06-0042</t>
  </si>
  <si>
    <t>Шайбы тарельчатые (ТУ 32 ЦП749-86) (вес 1шт-0,13кг)</t>
  </si>
  <si>
    <t>Ч.2 стр.234 RDSстрой</t>
  </si>
  <si>
    <t>Ч.6 стр.27 Мир Кровли</t>
  </si>
  <si>
    <t>ТЕР15-02-001-01</t>
  </si>
  <si>
    <t>Улучшенная штукатурка фасадов цементно-известковым раствором по камню: стен (парапета)</t>
  </si>
  <si>
    <t>ТЕР12-01-004-04</t>
  </si>
  <si>
    <t>Устройство примыканий кровель из наплавляемых материалов к стенам и парапетам высотой: до 600 мм без фартуков</t>
  </si>
  <si>
    <t>ТЕР12-01-010-01</t>
  </si>
  <si>
    <t>Устройство мелких покрытий (брандмауэры, парапеты, свесы и т.п.) из листовой оцинкованной стали -(Защитный фартук на парапет из оцинкованной стали)</t>
  </si>
  <si>
    <t>ТЕР12-01-035-02</t>
  </si>
  <si>
    <t>Устройство металлической водосточной системы: воронок</t>
  </si>
  <si>
    <t>ТССЦ-08.1.02.07-0006</t>
  </si>
  <si>
    <t>Воронка выпускная МП, диаметр 125/100 мм, стандартный цвет</t>
  </si>
  <si>
    <t>ТССЦ-08.1.02.07-0081</t>
  </si>
  <si>
    <t>Паук МП, диаметр 100 мм</t>
  </si>
  <si>
    <t>ТЕР12-01-035-03</t>
  </si>
  <si>
    <t>Устройство металлической водосточной системы: прямых звеньев труб</t>
  </si>
  <si>
    <t>ТССЦ-01.7.15.07-0010</t>
  </si>
  <si>
    <t>Дюбели пластмассовые с шурупами 10х50 мм</t>
  </si>
  <si>
    <t>ТССЦ-08.1.02.07-0116</t>
  </si>
  <si>
    <t>Труба водосточная МП, диаметр 100х3000 мм, стандартный цвет</t>
  </si>
  <si>
    <t>ТССЦ-08.1.02.07-0022</t>
  </si>
  <si>
    <t>Держатель трубы (на кирпич) МП, диаметр 100 мм, стандартный цвет</t>
  </si>
  <si>
    <t>Ч.2 стр.231 СтройМир</t>
  </si>
  <si>
    <t>ТЕР12-01-035-01</t>
  </si>
  <si>
    <t>Устройство металлической водосточной системы: колен</t>
  </si>
  <si>
    <t>ТССЦ-08.1.02.07-0067</t>
  </si>
  <si>
    <t>Колено трубы МП, диаметр 100 (60°), стандартный цвет</t>
  </si>
  <si>
    <t>ТССЦ-08.1.02.07-0062</t>
  </si>
  <si>
    <t>Колено сливное МП, диаметр 100 (60°), стандартный цвет</t>
  </si>
  <si>
    <t>ТЕР15-01-062-02</t>
  </si>
  <si>
    <t>Наружная облицовка поверхности стен в горизонтальном исполнении по металлическому каркасу (с его устройством): металлосайдингом без пароизоляционного слоя</t>
  </si>
  <si>
    <t>ТССЦ-08.1.02.03-0041</t>
  </si>
  <si>
    <t>Кронштейн выравнивающий стальной оцинкованный, высотой профиля (h) 200 мм, толщиной металла (t) 1,2 мм</t>
  </si>
  <si>
    <t>Ч.3 стр.155 п.1 ООО "ФАС ГРУ"</t>
  </si>
  <si>
    <t>ТЕР12-01-009-02</t>
  </si>
  <si>
    <t>Устройство желобов: подвесных</t>
  </si>
  <si>
    <t>ТССЦ-08.1.02.07-0042</t>
  </si>
  <si>
    <t>Желоб водосточный МП, диаметр 125х3000 мм, стандартный цвет</t>
  </si>
  <si>
    <t>ТССЦ-08.1.02.07-0092</t>
  </si>
  <si>
    <t>Соединитель желоба МП, диаметр 125 мм, стандартный цвет</t>
  </si>
  <si>
    <t>10 шт</t>
  </si>
  <si>
    <t>ТССЦ-08.1.02.07-0054</t>
  </si>
  <si>
    <t>Заглушка желоба МП, диаметр 125 мм, стандартный цвет</t>
  </si>
  <si>
    <t>ТССЦ-08.1.02.07-0014</t>
  </si>
  <si>
    <t>Держатель желоба МП, диаметр 125х320 мм, стандартный цвет</t>
  </si>
  <si>
    <t>ТЕР20-02-010-05</t>
  </si>
  <si>
    <t>Установка зонтов над шахтами из листовой стали прямоугольного сечения периметром: 2600 мм</t>
  </si>
  <si>
    <t>ТЕР20-02-010-06</t>
  </si>
  <si>
    <t>Установка зонтов над шахтами из листовой стали прямоугольного сечения периметром: 3200 мм</t>
  </si>
  <si>
    <t>ТЕР20-02-010-08</t>
  </si>
  <si>
    <t>Установка зонтов над шахтами из листовой стали прямоугольного сечения периметром: 4000 мм</t>
  </si>
  <si>
    <t>Ч.5 стр.210  Компания Гросса</t>
  </si>
  <si>
    <t>Ч.7 стр.209 Компания Гросса</t>
  </si>
  <si>
    <t>ТЕР15-01-065-01</t>
  </si>
  <si>
    <t>Наружная облицовка поверхности стен сайдингом металлическим с полимерным покрытием с устройством металлического каркаса и теплоизоляционного слоя (прим. облицовка вентканалов )</t>
  </si>
  <si>
    <t>ТССЦ-12.1.01.03-0032</t>
  </si>
  <si>
    <t>Пленка влаговетроизоляционная, марка "Ондутис А120"</t>
  </si>
  <si>
    <t>10 м2</t>
  </si>
  <si>
    <t>ТССЦ-12.2.04.02-0001</t>
  </si>
  <si>
    <t>Маты минераловатные, марка "Тех мат" ROCKWOOL, толщиной: 50 мм</t>
  </si>
  <si>
    <t>ТССЦ-08.3.09.01-0051</t>
  </si>
  <si>
    <t>Профилированный настил оцинкованный: С10-899-0,6</t>
  </si>
  <si>
    <t>ТЕР12-01-004-05</t>
  </si>
  <si>
    <t>Устройство примыканий кровель из наплавляемых материалов к стенам и парапетам высотой: более 600 мм с одним фартуком</t>
  </si>
  <si>
    <t>ТССЦ-04.3.01.09-0001</t>
  </si>
  <si>
    <t>Раствор готовый кладочный тяжелый цементный</t>
  </si>
  <si>
    <t>ЛС 02-01-05 Поз.: 1--22</t>
  </si>
  <si>
    <t>ТЕР10-05-011-02</t>
  </si>
  <si>
    <t>Устройство подвесных потолков из гипсокартонных листов (ГКЛ) по системе «КНАУФ»: одноуровневых (П 113)</t>
  </si>
  <si>
    <t>ТССЦ-01.6.01.02-0006</t>
  </si>
  <si>
    <t>Листы гипсокартонные: ГКЛ 12,5 мм</t>
  </si>
  <si>
    <t>ТССЦ-01.6.01.02-0008</t>
  </si>
  <si>
    <t>Листы гипсокартонные: ГКЛВ 12,5 мм</t>
  </si>
  <si>
    <t>ТССЦ-01.7.06.01-0041</t>
  </si>
  <si>
    <t>Лента эластичная самоклеящаяся для профилей направляющих «Дихтунгсбанд»: 30/30000 мм</t>
  </si>
  <si>
    <t>ТССЦ-07.2.06.04-0111</t>
  </si>
  <si>
    <t>Тяга подвеса: 250 мм</t>
  </si>
  <si>
    <t>ТЕР15-04-027-06</t>
  </si>
  <si>
    <t>Третья шпатлевка при высококачественной окраске по штукатурке и сборным конструкциям: потолков, подготовленных под окраску</t>
  </si>
  <si>
    <t>ТЕР15-04-007-04</t>
  </si>
  <si>
    <t>Окраска водно-дисперсионными акриловыми составами улучшенная: по сборным конструкциям потолков, подготовленным под окраску</t>
  </si>
  <si>
    <t>ТССЦ-14.3.01.02-0103</t>
  </si>
  <si>
    <t>Грунтовка воднодисперсионная CERESIT CT 17</t>
  </si>
  <si>
    <t>ТССЦ-14.3.02.01-0014</t>
  </si>
  <si>
    <t>Краска акриловая: Alpina RENOVA, CAPAROL водно-дисперсионная</t>
  </si>
  <si>
    <t>ТЕР15-01-047-15</t>
  </si>
  <si>
    <t>Устройство: подвесных потолков типа &lt;Армстронг&gt; по каркасу из оцинкованного профиля</t>
  </si>
  <si>
    <t>Устройство: подвесных потолков типа &lt;Армстронг&gt; по каркасу из оцинкованного профиля (влагостойкий)</t>
  </si>
  <si>
    <t>ТССЦ-01.6.04.02-0011</t>
  </si>
  <si>
    <t>Панели потолочные с комплектующими: «Армстронг»</t>
  </si>
  <si>
    <t>Ярмарка Паркета Ч.6 стр.163</t>
  </si>
  <si>
    <t>Панели потолочные с комплектующими: «Армстронг» влагостойкие Ц=294</t>
  </si>
  <si>
    <t>ТЕР15-02-016-01</t>
  </si>
  <si>
    <t>Штукатурка поверхностей внутри здания цементно-известковым или цементным раствором по камню и бетону: простая стен</t>
  </si>
  <si>
    <t>ТССЦ-04.3.01.12-0111</t>
  </si>
  <si>
    <t>Раствор готовый отделочный тяжелый,: цементно-известковый 1:1:6</t>
  </si>
  <si>
    <t>ТССЦ-04.3.02.09-1502</t>
  </si>
  <si>
    <t>Штукатурка влагостойкая и морозостойкая марки WEBER STUK CEMENT</t>
  </si>
  <si>
    <t>ТЕР15-02-019-03</t>
  </si>
  <si>
    <t>Сплошное выравнивание внутренних поверхностей (однослойное оштукатуривание) из сухих растворных смесей толщиной до 10 мм: стен</t>
  </si>
  <si>
    <t>ТССЦ-04.3.02.12-0001</t>
  </si>
  <si>
    <t>Смесь для оштукатуривания пористых оснований (ячеистый бетон, пенобетон) "БИРСС 15Я" (марка М100)</t>
  </si>
  <si>
    <t>ТССЦ-01.8.01.06-0003</t>
  </si>
  <si>
    <t>Сетка стеклотканевая, размер 5х5 мм, плотность 75 г/м2</t>
  </si>
  <si>
    <t>ТЕР15-04-027-05</t>
  </si>
  <si>
    <t>Третья шпатлевка при высококачественной окраске по штукатурке и сборным конструкциям: стен, подготовленных под окраску</t>
  </si>
  <si>
    <t>ТЕР15-04-007-01</t>
  </si>
  <si>
    <t>Окраска водно-дисперсионными акриловыми составами улучшенная: по штукатурке стен</t>
  </si>
  <si>
    <t>ТЕР15-01-019-07</t>
  </si>
  <si>
    <t>Гладкая облицовка стен, столбов, пилястр и откосов (без карнизных, плинтусных и угловых плиток) с установкой плиток туалетного гарнитура на клее из сухих смесей: по кирпичу и бетону</t>
  </si>
  <si>
    <t>ТССЦ-04.3.02.09-0824</t>
  </si>
  <si>
    <t>Смесь сухая: для заделки швов (фуга) АТЛАС растворная для ручной работы</t>
  </si>
  <si>
    <t>ТССЦ-06.2.01.02-0012</t>
  </si>
  <si>
    <t>Плитки керамические глазурованные для внутренней облицовки стен: гладкие без завала цветные (однотонные)</t>
  </si>
  <si>
    <t>ТССЦ-14.1.06.02-0101</t>
  </si>
  <si>
    <t>Смесь сухая клеевая водостойкая для плитки "Кератэкс К12"</t>
  </si>
  <si>
    <t>ТЕР15-02-019-05</t>
  </si>
  <si>
    <t>Сплошное выравнивание внутренних поверхностей (однослойное оштукатуривание) из сухих растворных смесей толщиной до 10 мм: оконных и дверных откосов плоских</t>
  </si>
  <si>
    <t>ТЕР10-05-012-01</t>
  </si>
  <si>
    <t>Облицовка стен глухих (без проемов) по металлическому одинарному каркасу гипсокартонными листами (прим. обшивка коробов)</t>
  </si>
  <si>
    <t>ТЕР15-04-002-01</t>
  </si>
  <si>
    <t>Известковая окраска водными составами внутри помещений: по штукатурке</t>
  </si>
  <si>
    <t>ТЕР13-03-003-21</t>
  </si>
  <si>
    <t>Окраска огрунтованных бетонных и оштукатуренных поверхностей: эмалью ПФ-133</t>
  </si>
  <si>
    <t>ЛС 02-01-06 Поз.: 1-21.2</t>
  </si>
  <si>
    <t>в том числе оборудование:</t>
  </si>
  <si>
    <t>ТЕР16-04-004-02</t>
  </si>
  <si>
    <t>Прокладка внутренних трубопроводов канализации из полипропиленовых труб диаметром: 110 мм</t>
  </si>
  <si>
    <t>ТССЦ-01.7.19.02-0052</t>
  </si>
  <si>
    <t>Кольца резиновые уплотнительные для полипропиленовых труб диаметром: 110 мм</t>
  </si>
  <si>
    <t>ТССЦ-24.3.02.02-0004</t>
  </si>
  <si>
    <t>Трубы безнапорные канализационные из полипропилена, диаметром: 110 мм</t>
  </si>
  <si>
    <t>ТЕР16-04-004-01</t>
  </si>
  <si>
    <t>Прокладка внутренних трубопроводов канализации из полипропиленовых труб диаметром: 50 мм</t>
  </si>
  <si>
    <t>ТССЦ-01.7.19.02-0051</t>
  </si>
  <si>
    <t>Кольца резиновые уплотнительные для полипропиленовых труб диаметром: 50 мм</t>
  </si>
  <si>
    <t>ТССЦ-24.3.02.02-0003</t>
  </si>
  <si>
    <t>Трубы безнапорные канализационные из полипропилена, диаметром: 50 мм</t>
  </si>
  <si>
    <t>ТССЦ-24.3.05.12-0001</t>
  </si>
  <si>
    <t>Ревизия полипропиленовая с крышкой диаметром 100 мм</t>
  </si>
  <si>
    <t>Ревизия полипропиленовая с крышкой диаметром 100 мм (Прим.) 50мм</t>
  </si>
  <si>
    <t>ТССЦ-24.3.05.07-0159</t>
  </si>
  <si>
    <t>Муфта полипропиленовая соединительная диаметром: 110 мм</t>
  </si>
  <si>
    <t>ТССЦ-24.3.05.07-0155</t>
  </si>
  <si>
    <t>Муфта полипропиленовая соединительная диаметром: 50 мм</t>
  </si>
  <si>
    <t>ТЕР22-03-002-01</t>
  </si>
  <si>
    <t>Установка полиэтиленовых фасонных частей: отводов, колен, патрубков, переходов</t>
  </si>
  <si>
    <t>ТССЦ-19.3.01.06-0001</t>
  </si>
  <si>
    <t>Клапан воздушный HL900N для невентилируемых канализационных стояков диаметрами 50/75/110 мм</t>
  </si>
  <si>
    <t>ТССЦ-24.3.05.07-0231</t>
  </si>
  <si>
    <t>Муфта противопожарная самосрабатывающая диаметром: 55 мм</t>
  </si>
  <si>
    <t>ТССЦ-24.3.05.07-0232</t>
  </si>
  <si>
    <t>Муфта противопожарная самосрабатывающая диаметром: 110 мм</t>
  </si>
  <si>
    <t>Сантехкомплект Ч.4 стр.144</t>
  </si>
  <si>
    <t>Сантехкомплект Ч.4 стр.150</t>
  </si>
  <si>
    <t>ТЕР20-02-009-01</t>
  </si>
  <si>
    <t>Установка зонтов над шахтами из листовой стали круглого сечения диаметром: 200 мм</t>
  </si>
  <si>
    <t>ТССЦ-19.2.02.02-0011</t>
  </si>
  <si>
    <t>Зонты вентиляционных систем из листовой оцинкованной стали,: круглые, диаметром шахты 200 мм (Прим.)</t>
  </si>
  <si>
    <t>ТЕР17-01-001-22</t>
  </si>
  <si>
    <t>Установка трапов диаметром: 50 мм (прачечная)</t>
  </si>
  <si>
    <t>10 компл.</t>
  </si>
  <si>
    <t>ИжораСтрой Ч.1 Стр.237</t>
  </si>
  <si>
    <t>Установка трапов диаметром: 50 мм</t>
  </si>
  <si>
    <t>Сантехкомплект Ч.4стр.144</t>
  </si>
  <si>
    <t>ТЕР16-04-002-03</t>
  </si>
  <si>
    <t>Прокладка трубопроводов водоснабжения из напорных полиэтиленовых труб наружным диаметром: 32 мм</t>
  </si>
  <si>
    <t>ТССЦ-24.3.03.13-0022</t>
  </si>
  <si>
    <t>Труба напорная из полиэтилена PE 100 питьевая: ПЭ100 SDR13,6, размером 40х3,0 мм (ГОСТ 18599-2001, ГОСТ Р 52134-2003)</t>
  </si>
  <si>
    <t>ТССЦ-18.1.10.01-0213</t>
  </si>
  <si>
    <t>Вентиль запорный BROEN V215F из углеродистой стали, с графитовым уплотнением, с фланцевым присоединением, давлением 4,0 МПа (40 кгс/см2), диаметром: 25 мм</t>
  </si>
  <si>
    <t>ТЕР18-05-001-01</t>
  </si>
  <si>
    <t>Установка насосов центробежных с электродвигателем, масса агрегата: до 0,1 т</t>
  </si>
  <si>
    <t>ТССЦ-68.1.01.01-0001</t>
  </si>
  <si>
    <t>Насос грязевый, тип: ГНОМ 10-10Т (Прим.)</t>
  </si>
  <si>
    <t>ТЕР16-05-001-01</t>
  </si>
  <si>
    <t>Установка вентилей, задвижек, затворов, клапанов обратных, кранов проходных на трубопроводах из стальных труб диаметром: до 25 мм</t>
  </si>
  <si>
    <t>ТССЦ-18.1.04.03-0013</t>
  </si>
  <si>
    <t>Клапаны обратные BROEN V275-I из нержавеюшей стали, с межфланцевым присоединением, давлением 4,0 МПа (40 кгс/см2), диаметром: 25 мм</t>
  </si>
  <si>
    <t>Сантехкомплект Ч.4 стр.151</t>
  </si>
  <si>
    <t>ЛС 02-01-07 Поз.: 1-83</t>
  </si>
  <si>
    <t>ТЕРм07-04-001-02</t>
  </si>
  <si>
    <t>Агрегат насосный лопастный центробежный одноступенчатый, многоступенчатый объемный, вихревой, поршневой, приводной, роторный на общей фундаментной плите или моноблочный, масса: 0,17 т</t>
  </si>
  <si>
    <t>ООО "Эстебано Инжиниринг" Ч.1 Стр.268</t>
  </si>
  <si>
    <t>ТЕР17-01-007-01</t>
  </si>
  <si>
    <t>Установка баков металлических для воды массой: до 0,5 т</t>
  </si>
  <si>
    <t>Насос Котел Ч.1 Стр.267</t>
  </si>
  <si>
    <t>ТЕР16-05-003-01</t>
  </si>
  <si>
    <t>Установка клапанов предохранительных однорычажных диаметром: 25 мм</t>
  </si>
  <si>
    <t>ТССЦ-18.1.05.02-0001</t>
  </si>
  <si>
    <t>Клапаны предохранительные регулируемые OR 1831, давлением 0,1-1,2 МПа (1-12 кгс/см2), диаметром: 15 мм</t>
  </si>
  <si>
    <t>ТЕР18-06-003-10</t>
  </si>
  <si>
    <t>Установка воздухоотводчиков</t>
  </si>
  <si>
    <t>ТССЦ-19.1.02.01-0011</t>
  </si>
  <si>
    <t>Воздухоотводчик автоматический с наружным резьбовым присоединением Рр=1,0 МПа, Т max = 120 град С, D = 15 мм</t>
  </si>
  <si>
    <t>ТЕР18-07-001-02</t>
  </si>
  <si>
    <t>Установка манометров: с трехходовым краном</t>
  </si>
  <si>
    <t>ТССЦ-63.4.01.02-0011</t>
  </si>
  <si>
    <t>Манометры общего назначения с трехходовым краном ОБМ1-100</t>
  </si>
  <si>
    <t>ТЕР07-01-001-01</t>
  </si>
  <si>
    <t>Укладка блоков и плит ленточных фундаментов при глубине котлована до 4 м, масса конструкций: до 0,5 т (прим. установка опорной плиты)</t>
  </si>
  <si>
    <t>ТССЦ-05.1.01.13-0061</t>
  </si>
  <si>
    <t>Плиты и рамы железобетонные фундаментные для насосных и компрессорных агрегатов</t>
  </si>
  <si>
    <t>ТЕР20-02-020-06</t>
  </si>
  <si>
    <t>Установка виброизолятора: номер 43</t>
  </si>
  <si>
    <t>ТССЦ-19.2.01.01-0006</t>
  </si>
  <si>
    <t>Виброизоляторы пружинные: до № 43</t>
  </si>
  <si>
    <t>ТЕРм11-02-001-01</t>
  </si>
  <si>
    <t>Прибор, устанавливаемый на резьбовых соединениях, масса: до 1,5 кг</t>
  </si>
  <si>
    <t>АкваТерм Ч.1 Стр.283</t>
  </si>
  <si>
    <t>ГК Трубные системы Ч.3 Стр.59</t>
  </si>
  <si>
    <t>ТЕР18-05-002-03</t>
  </si>
  <si>
    <t>Установка вставок виброизолирующих к насосам давлением: 1,6 МПа диаметром 50 мм</t>
  </si>
  <si>
    <t>ТССЦ-18.5.03.02-0008</t>
  </si>
  <si>
    <t>Вставки гибкие фланцевые ZKB на давление: 1,6 МПа (16 кгс/см2), диаметром 50 мм</t>
  </si>
  <si>
    <t>ТЕР22-03-006-01</t>
  </si>
  <si>
    <t>Установка задвижек или клапанов обратных чугунных диаметром: 50 мм</t>
  </si>
  <si>
    <t>ТССЦ-18.1.02.02-0011</t>
  </si>
  <si>
    <t>Задвижки клиновые с невыдвижным шпинделем раструбные ВКЗ, давлением 1 МПа (10 кгс/см2) диаметром: 50 мм</t>
  </si>
  <si>
    <t>ТЕР16-05-001-02</t>
  </si>
  <si>
    <t>Установка вентилей, задвижек, затворов, клапанов обратных, кранов проходных на трубопроводах из стальных труб диаметром: до 50 мм</t>
  </si>
  <si>
    <t>ТССЦ-18.1.10.01-0100</t>
  </si>
  <si>
    <t>Вентили проходные фланцевые: 15КЧ19П для воды и пара, давлением 1,6 МПа (16 кгс/см2), диаметром 32 мм</t>
  </si>
  <si>
    <t>ТССЦ-18.1.04.03-0046</t>
  </si>
  <si>
    <t>Клапаны обратные BROEN V287 чугунные, с фланцевым присоединением, давлением 1,6 МПа (16 кгс/см2), диаметром: 50 мм</t>
  </si>
  <si>
    <t>ТССЦ-23.8.04.08-0012</t>
  </si>
  <si>
    <t>Неразъемное соединение «полиэтилен-сталь» SDR 11 63x57 мм</t>
  </si>
  <si>
    <t>ТССЦ-23.8.04.08-0161</t>
  </si>
  <si>
    <t>Переходы стальные концентрические бесшовные приварные (ГОСТ 17378-01), наружным диаметром и толщиной стенки: 57х3,0-32х2,0 мм</t>
  </si>
  <si>
    <t>ТССЦ-18.1.09.08-0191</t>
  </si>
  <si>
    <t>Кран шаровый латунный полнопроходной с внутренней резьбой, давлением 4 МПа (40 кгс/см2), диаметром: 15 мм</t>
  </si>
  <si>
    <t>ТЕР16-02-002-06</t>
  </si>
  <si>
    <t>Прокладка трубопроводов водоснабжения из стальных водогазопроводных оцинкованных труб диаметром: 57 мм</t>
  </si>
  <si>
    <t>ТССЦ-18.2.07.01-0009</t>
  </si>
  <si>
    <t>Узлы укрупненные монтажные (трубопроводы) из стальных водогазопроводных : оцинкованных труб с гильзами для водоснабжения диаметром 57 мм</t>
  </si>
  <si>
    <t>ТЕР16-02-002-05</t>
  </si>
  <si>
    <t>Прокладка трубопроводов водоснабжения из стальных водогазопроводных оцинкованных труб диаметром: 40 мм</t>
  </si>
  <si>
    <t>ТССЦ-18.2.07.01-0008</t>
  </si>
  <si>
    <t>Узлы укрупненные монтажные (трубопроводы) из стальных водогазопроводных : оцинкованных труб с гильзами для водоснабжения диаметром 40 мм</t>
  </si>
  <si>
    <t>Сантехкомплект Ч.4 тср.142</t>
  </si>
  <si>
    <t>ТЕР16-07-005-01</t>
  </si>
  <si>
    <t>Гидравлическое испытание трубопроводов систем отопления, водопровода и горячего водоснабжения диаметром: до 50 мм</t>
  </si>
  <si>
    <t>ТЕР13-03-004-23</t>
  </si>
  <si>
    <t>Окраска металлических огрунтованных поверхностей: краской БТ-177 серебристой за 2 раза</t>
  </si>
  <si>
    <t>ТЕР26-01-017-01</t>
  </si>
  <si>
    <t>Изоляция изделиями из вспененного каучука, вспененного полиэтилена трубопроводов наружным диметром до 160 мм трубками</t>
  </si>
  <si>
    <t>10 м</t>
  </si>
  <si>
    <t>ТССЦ-12.2.07.05-0148</t>
  </si>
  <si>
    <t>Трубки теплоизоляционные из вспененного полиэтилена типа THERMAFLEX FRZ толщиной: 20 мм, диаметром 57 мм</t>
  </si>
  <si>
    <t>ТССЦ-18.1.09.08-0275</t>
  </si>
  <si>
    <t>Краны шаровые BUGATTI для воды и пара стандартные: ВВ с размером резьбы 2"</t>
  </si>
  <si>
    <t>ТЕР16-02-007-01</t>
  </si>
  <si>
    <t>Установка фланцевых соединений на стальных трубопроводах диаметром: 50 мм</t>
  </si>
  <si>
    <t>соединение</t>
  </si>
  <si>
    <t>ТССЦ-23.8.03.09-0411</t>
  </si>
  <si>
    <t>Фланцы стальные плоские приварные из стали 12Х18Н9Т, давлением: 1,0 МПа (10 кгс/см2), диаметром 50 мм</t>
  </si>
  <si>
    <t>Прибор, устанавливаемый на резьбовых соединениях, масса: до 1,5 кг- Установка обеззараживания</t>
  </si>
  <si>
    <t>ТЕРм08-03-573-04</t>
  </si>
  <si>
    <t>Шкаф (пульт) управления навесной, высота, ширина и глубина: до 600х600х350 мм</t>
  </si>
  <si>
    <t>Ультрафиолетовые Технологии Ч.1 Стр.245</t>
  </si>
  <si>
    <t>ТЕР16-04-005-06</t>
  </si>
  <si>
    <t>Прокладка внутренних трубопроводов водоснабжения и отопления из полипропиленовых труб: 63 мм</t>
  </si>
  <si>
    <t>ТЕР16-04-005-05</t>
  </si>
  <si>
    <t>Прокладка внутренних трубопроводов водоснабжения и отопления из полипропиленовых труб: 50 мм</t>
  </si>
  <si>
    <t>ООО "Термомир" Ч.5 стр.242</t>
  </si>
  <si>
    <t>ТЕР16-04-005-04</t>
  </si>
  <si>
    <t>Прокладка внутренних трубопроводов водоснабжения и отопления из полипропиленовых труб: 40 мм</t>
  </si>
  <si>
    <t>ООО "Термомир" Ч.5 стр.241</t>
  </si>
  <si>
    <t>ООО "Термомир" Ч.5 стр.243</t>
  </si>
  <si>
    <t>ТЕР16-04-005-03</t>
  </si>
  <si>
    <t>Прокладка внутренних трубопроводов водоснабжения и отопления из полипропиленовых труб: 32 мм</t>
  </si>
  <si>
    <t>ООО "Термомир" Ч.5 стр.240</t>
  </si>
  <si>
    <t>ТЕР16-04-005-02</t>
  </si>
  <si>
    <t>Прокладка внутренних трубопроводов водоснабжения и отопления из полипропиленовых труб: 25 мм</t>
  </si>
  <si>
    <t>ООО "Термомир" Ч.5 стр.239</t>
  </si>
  <si>
    <t>ТЕР16-04-005-01</t>
  </si>
  <si>
    <t>Прокладка внутренних трубопроводов водоснабжения и отопления из полипропиленовых труб: 20 мм</t>
  </si>
  <si>
    <t>ООО "Термомир" Ч.5 стр.238</t>
  </si>
  <si>
    <t>ТССЦ-24.1.02.01-0015</t>
  </si>
  <si>
    <t>Хомут FRS системы крепежа трубопроводов, размером: 32-37 мм</t>
  </si>
  <si>
    <t>ТССЦ-18.1.02.01-0201</t>
  </si>
  <si>
    <t>Задвижки параллельные фланцевые с выдвижным шпинделем для воды и пара давлением 1 Мпа (10 кгс/см2) 30ч6бр диаметром: 50 мм</t>
  </si>
  <si>
    <t>ТССЦ-18.1.09.07-0023</t>
  </si>
  <si>
    <t>Кран шаровый полипропиленовый PPRC PN20, диаметром: 32 мм</t>
  </si>
  <si>
    <t>ТССЦ-18.1.09.07-0022</t>
  </si>
  <si>
    <t>Кран шаровый полипропиленовый PPRC PN20, диаметром: 25 мм</t>
  </si>
  <si>
    <t>ТССЦ-18.1.09.07-0021</t>
  </si>
  <si>
    <t>Кран шаровый полипропиленовый PPRC PN20, диаметром: 20 мм</t>
  </si>
  <si>
    <t>Кран шаровый полипропиленовый PPRC PN20, диаметром: 20 мм прим. 15мм</t>
  </si>
  <si>
    <t>ТССЦ-18.1.10.12-0003</t>
  </si>
  <si>
    <t>Кран пробно-спускной с прямым спуском сальниковый для воды марки 10б19бк диаметром 15 мм</t>
  </si>
  <si>
    <t>ТССЦ-63.4.03.03-0011</t>
  </si>
  <si>
    <t>Ограничитель температуры воды MTCV для циркуляционных контуров системы горячего водоснабжения диаметром 15 мм</t>
  </si>
  <si>
    <t>ТССЦ-12.2.07.05-0150</t>
  </si>
  <si>
    <t>Трубки теплоизоляционные из вспененного полиэтилена типа THERMAFLEX FRZ толщиной: 20 мм, диаметром 63 мм</t>
  </si>
  <si>
    <t>ТССЦ-12.2.07.05-0147</t>
  </si>
  <si>
    <t>Трубки теплоизоляционные из вспененного полиэтилена типа THERMAFLEX FRZ толщиной: 20 мм, диаметром 54 мм</t>
  </si>
  <si>
    <t>ТССЦ-12.2.07.05-0145</t>
  </si>
  <si>
    <t>Трубки теплоизоляционные из вспененного полиэтилена типа THERMAFLEX FRZ толщиной: 20 мм, диаметром 42 мм</t>
  </si>
  <si>
    <t>ТССЦ-12.2.07.05-0144</t>
  </si>
  <si>
    <t>Трубки теплоизоляционные из вспененного полиэтилена типа THERMAFLEX FRZ толщиной: 20 мм, диаметром 35 мм</t>
  </si>
  <si>
    <t>ТССЦ-12.2.07.05-0143</t>
  </si>
  <si>
    <t>Трубки теплоизоляционные из вспененного полиэтилена типа THERMAFLEX FRZ толщиной: 20 мм, диаметром 28 мм</t>
  </si>
  <si>
    <t>ТССЦ-12.2.07.05-0142</t>
  </si>
  <si>
    <t>Трубки теплоизоляционные из вспененного полиэтилена типа THERMAFLEX FRZ толщиной: 20 мм, диаметром 22 мм</t>
  </si>
  <si>
    <t>ТЕР16-07-001-02</t>
  </si>
  <si>
    <t>Установка кранов поливочных диаметром: 25 мм</t>
  </si>
  <si>
    <t>ТССЦ-18.3.01.03-0001</t>
  </si>
  <si>
    <t>Рукава поливочные диаметром: 25 мм</t>
  </si>
  <si>
    <t>ТЕР24-02-081-01</t>
  </si>
  <si>
    <t>Устройство контрольной трубки на кожухе перехода газопровода</t>
  </si>
  <si>
    <t>установка</t>
  </si>
  <si>
    <t>ТССЦ-18.5.08.04-0002</t>
  </si>
  <si>
    <t>Ковер регулируемый с габаритами 0,24x0,24x0,215 м для клиновых задвижек</t>
  </si>
  <si>
    <t>ТССЦ-18.5.08.04-0011</t>
  </si>
  <si>
    <t>Плита опорная ковера Hawle 3481 диаметром 340 мм.</t>
  </si>
  <si>
    <t>Устройство бетонной подготовки (диам.320х100мм-h)  V=0,32*0,32*3,14*0,1*5=0,16м3</t>
  </si>
  <si>
    <t>ТССЦ-18.1.09.06-0021</t>
  </si>
  <si>
    <t>Кран шаровой муфтовый 11Б27П1, диаметром: 15 мм</t>
  </si>
  <si>
    <t>ТЕР17-01-002-03</t>
  </si>
  <si>
    <t>Установка смесителей</t>
  </si>
  <si>
    <t>T-WAY Ч.1 Стр.277</t>
  </si>
  <si>
    <t>ТССЦ-18.1.04.03-0086</t>
  </si>
  <si>
    <t>Клапаны обратные горизонтальные ИГЛ (Eagle), с проверочным отверстием, давлением 1,6 МПа (16 кгс/см2), размером: 3/4"</t>
  </si>
  <si>
    <t>ТССЦ-18.1.04.03-0084</t>
  </si>
  <si>
    <t>Клапаны обратные горизонтальные ИГЛ (Eagle), с проверочным отверстием, давлением 1,6 МПа (16 кгс/см2), размером: 1/2"</t>
  </si>
  <si>
    <t>ТССЦ-18.1.09.07-0020</t>
  </si>
  <si>
    <t>Кран шаровый полипропиленовый PPRC PN20, диаметром: 20 мм(прим.) 15мм</t>
  </si>
  <si>
    <t>ТЕР18-06-007-01</t>
  </si>
  <si>
    <t>Установка фильтров диаметром: 25 мм</t>
  </si>
  <si>
    <t>АкваКрым Ч.1 стр.280</t>
  </si>
  <si>
    <t>Фильтр-умягчитель dy 15 Aquachief 0717 Cabinet Гейзер Цена=(29000)</t>
  </si>
  <si>
    <t>ТССЦ-18.1.09.06-0031</t>
  </si>
  <si>
    <t>Кран шаровой стандартный муфтовый с ручкой-рычагом диаметром 15 мм</t>
  </si>
  <si>
    <t>ТЕР18-02-004-02</t>
  </si>
  <si>
    <t>Монтаж водонагревателей электрических накопительных (емкостных) объемом: свыше 50 до 100 л</t>
  </si>
  <si>
    <t>220Вольт Ч.1 Стр.271</t>
  </si>
  <si>
    <t>ТССЦ-18.5.14.01-0001</t>
  </si>
  <si>
    <t>Фильтры для очистки воды в трубопроводах систем отопления диаметром: 20 мм</t>
  </si>
  <si>
    <t>ТССЦ-18.1.09.06-0069</t>
  </si>
  <si>
    <t>Кран шаровый муфтовый Valtec для воды диаметром: 20 мм, тип в/н</t>
  </si>
  <si>
    <t>ТЕРм10-06-037-06</t>
  </si>
  <si>
    <t>Шкаф для трубных проводок: настенный, размер до 700х1000 мм</t>
  </si>
  <si>
    <t>TD Comfort Ч.1 Стр.239</t>
  </si>
  <si>
    <t>ТЕР16-02-005-02</t>
  </si>
  <si>
    <t>Прокладка трубопроводов отопления и водоснабжения из стальных электросварных труб диаметром: 50 мм</t>
  </si>
  <si>
    <t>ТССЦ-23.5.02.02-0004</t>
  </si>
  <si>
    <t>Трубы стальные электросварные прямошовные (ГОСТ 10704-91), наружный диаметр: 57 мм, толщина стенки 3,5 мм</t>
  </si>
  <si>
    <t>ТССЦ-18.1.09.06-0022</t>
  </si>
  <si>
    <t>Кран шаровой муфтовый 11Б27П1, диаметром: 20 мм</t>
  </si>
  <si>
    <t>ТЕР16-07-001-01</t>
  </si>
  <si>
    <t>Установка кранов пожарных диаметром 50 мм</t>
  </si>
  <si>
    <t>ТССЦ-18.3.01.02-0031</t>
  </si>
  <si>
    <t>Рукава пожарные льняные сухого прядения нормальные, диаметром 51 мм (дополнительно т.к. в расценке учтен рукав 10м)</t>
  </si>
  <si>
    <t>ТЕР10-01-059-01</t>
  </si>
  <si>
    <t>Установка столов, шкафов под мойки, холодильных шкафов и др.</t>
  </si>
  <si>
    <t>ТССЦ-18.3.02.02-0007</t>
  </si>
  <si>
    <t>Шкаф пожарный: ШПК-315 навесной закрытый</t>
  </si>
  <si>
    <t>Первая Пожарна Компания  Ч.1 Стр.269</t>
  </si>
  <si>
    <t>ТД "Тинко" Ч.1 Стр.270</t>
  </si>
  <si>
    <t>ТЕР17-01-003-06</t>
  </si>
  <si>
    <t>Установка сливов больничных</t>
  </si>
  <si>
    <t>ТССЦ-01.7.15.14-0061</t>
  </si>
  <si>
    <t>Шурупы-саморезы 3,5х45 мм</t>
  </si>
  <si>
    <t>ТССЦ-18.2.06.11-0001</t>
  </si>
  <si>
    <t>Сливы больничные (видуары) полуфарфоровые и фарфоровые с металлической решеткой, ножной педалью, смесителем и бачком для дезинфицирующего раствора</t>
  </si>
  <si>
    <t>ТЕР17-01-001-14</t>
  </si>
  <si>
    <t>Установка умывальников одиночных: с подводкой холодной и горячей воды</t>
  </si>
  <si>
    <t>TopSto Ч.5 Стр.268</t>
  </si>
  <si>
    <t>ТССЦ-18.1.10.10-0072</t>
  </si>
  <si>
    <t>Смеситель латунный с гальванопокрытием для мойки настольный, с верхней камерой смешения</t>
  </si>
  <si>
    <t>ТССЦ-18.2.06.09-0005</t>
  </si>
  <si>
    <t>Сифон пластмассовый бутылочный унифицированный с выпуском и вертикальным отводом СБУв (ГОСТ 23289-94)</t>
  </si>
  <si>
    <t>ТССЦ-18.2.06.08-0013</t>
  </si>
  <si>
    <t>Подводка гибкая армированная резиновая: 500 мм</t>
  </si>
  <si>
    <t>ТССЦ-18.1.09.06-0062</t>
  </si>
  <si>
    <t>Кран шаровый муфтовый Valtec для воды диаметром: 15 мм со сгоном (отсекающий)</t>
  </si>
  <si>
    <t>ТЕР17-01-001-18</t>
  </si>
  <si>
    <t>Установка поддонов душевых: чугунных и стальных мелких</t>
  </si>
  <si>
    <t>Nir-vanna.ru Ч.5 Стр.275</t>
  </si>
  <si>
    <t>Ремонт Быстро  Ч.5 Стр.319</t>
  </si>
  <si>
    <t>ТССЦ-18.1.10.10-0062</t>
  </si>
  <si>
    <t>Смесители общие для ванн и умывальников: с душевой сеткой на гибком шланге, с кнопочным переключателем СМ-ВУ-ШЛР с цельнолитым корпусом</t>
  </si>
  <si>
    <t>РусЭкспресс Ч.5 Стр.259</t>
  </si>
  <si>
    <t>Стойка для душа  Цена=(1118)</t>
  </si>
  <si>
    <t>ТССЦ-18.2.06.09-0006</t>
  </si>
  <si>
    <t>Сифон трубный для душевого поддона "VIR"</t>
  </si>
  <si>
    <t>ТЕР17-01-001-01</t>
  </si>
  <si>
    <t>Установка ванн купальных: прямых чугунных</t>
  </si>
  <si>
    <t>ТССЦ-18.2.02.02-0022</t>
  </si>
  <si>
    <t>Ванны купальные чугунные эмалированные модернизированные с уравнителем электрических потенциалов латунным выпуском, чугунным сифоном и переливом, со стальным трубопроводом: без смесителя, марка ВЧМ-1700, размер 1700х750х607 мм</t>
  </si>
  <si>
    <t>ТССЦ-18.1.10.10-0014</t>
  </si>
  <si>
    <t>Смесители для ванн: СМ-В-ШТ с душевой сеткой на гибком шланге, с кнопочным переключателем, с латунными маховичками, штангой</t>
  </si>
  <si>
    <t>ТЕР17-01-005-02</t>
  </si>
  <si>
    <t>Установка моек: на два отделения</t>
  </si>
  <si>
    <t>Vitrina Store Ч.5 Стр.315</t>
  </si>
  <si>
    <t>Laguraty Ч.5 Стр.285</t>
  </si>
  <si>
    <t>ТЕР17-01-003-01</t>
  </si>
  <si>
    <t>Установка унитазов: с бачком непосредственно присоединенным</t>
  </si>
  <si>
    <t>ТССЦ-18.2.01.06-0035</t>
  </si>
  <si>
    <t>Унитазы полуфарфоровые и фарфоровые: УНТД и УНТПД детские без цельноотлитой полочки с сидением, креплением, с прямым или косым выпуском</t>
  </si>
  <si>
    <t>ТССЦ-18.2.01.06-0001</t>
  </si>
  <si>
    <t>Унитаз-компакт «Комфорт»</t>
  </si>
  <si>
    <t>ТССЦ-18.1.09.06-0061</t>
  </si>
  <si>
    <t>Кран шаровый муфтовый Valtec для воды диаметром: 15 мм с угловым сгоном (отсекающий)</t>
  </si>
  <si>
    <t>Vanna-Rum Ч.5 Стр.267</t>
  </si>
  <si>
    <t>Санузел.ру Ч.5 Стр.309</t>
  </si>
  <si>
    <t>H2OProfi Ч.1 Стр.242</t>
  </si>
  <si>
    <t>Сантехмед Ч.5 Стр.310</t>
  </si>
  <si>
    <t>ТЕР17-01-001-04</t>
  </si>
  <si>
    <t>Установка ванн купальных: прямых пластиковых</t>
  </si>
  <si>
    <t>ТССЦ-18.2.03.01-0011</t>
  </si>
  <si>
    <t>Ванны купальные: прямые пластиковые 1700х750 мм</t>
  </si>
  <si>
    <t>Водопад Ч.5 Стр.307</t>
  </si>
  <si>
    <t>ПродТехника Ч.5 стр.317</t>
  </si>
  <si>
    <t>Санузел.ру  Ч.5 Стр.308</t>
  </si>
  <si>
    <t>Смеситель локтевой для мойки Цена=(5400/5,4/1,2)</t>
  </si>
  <si>
    <t>ТССЦ-18.2.01.06-0002</t>
  </si>
  <si>
    <t>Унитаз-компакт для инвалидов размером 655x350x835 мм</t>
  </si>
  <si>
    <t>Сантехника Онлайн Ч.5 Стр.325</t>
  </si>
  <si>
    <t>ТЕР17-01-002-04</t>
  </si>
  <si>
    <t>Установка гарнитуры туалетной: вешалок, подстаканников, поручней для ванн и т.д.</t>
  </si>
  <si>
    <t>Промедик Ч.5 Стр.302</t>
  </si>
  <si>
    <t>Вертикаль Ч.5 Стр.301</t>
  </si>
  <si>
    <t>Вертикаль Ч.5 Стр.265</t>
  </si>
  <si>
    <t>ТССЦ-24.3.02.01-0002</t>
  </si>
  <si>
    <t>Трубопроводы напорные из полипропилена PPRS с гильзами и креплениями для холодного и горячего водоснабжения: PN10 SDR 11, диаметром 20 мм, толщина стенки 1,9 мм</t>
  </si>
  <si>
    <t>ТССЦ-63.4.03.03-0012</t>
  </si>
  <si>
    <t>Ограничитель температуры воды MTCV для циркуляционных контуров системы горячего водоснабжения диаметром 20 мм</t>
  </si>
  <si>
    <t>ТССЦ-12.2.07.05-0038</t>
  </si>
  <si>
    <t>Трубки из вспененного полиэтилена, внутренний диаметр: 25 мм, толщина 20 мм</t>
  </si>
  <si>
    <t>Прокладка трубопроводов водоснабжения из стальных водогазопроводных оцинкованных труб диаметром: 50 мм</t>
  </si>
  <si>
    <t>Узлы укрупненные монтажные (трубопроводы) из стальных водогазопроводных : оцинкованных труб с гильзами для водоснабжения диаметром 50 мм</t>
  </si>
  <si>
    <t>Центр Сантехники Ч.1 Стр.247</t>
  </si>
  <si>
    <t>Хомут сантехнический MP-H M8/M10 D 52-59 ММ без вставки HILTI Цена=(42,29)</t>
  </si>
  <si>
    <t>ТЕР16-02-002-02</t>
  </si>
  <si>
    <t>Прокладка трубопроводов водоснабжения из стальных водогазопроводных оцинкованных труб диаметром: 20 мм</t>
  </si>
  <si>
    <t>ТССЦ-18.2.07.01-0005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</si>
  <si>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</si>
  <si>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>Сантехкомплект Ч.4 стр.143</t>
  </si>
  <si>
    <t>ЛС 02-01-08 Поз.: 1-34.8</t>
  </si>
  <si>
    <t>ТЕРм10-08-001-09</t>
  </si>
  <si>
    <t>Приборы приемно-контрольные объектовые на: 2 луча</t>
  </si>
  <si>
    <t>Layta ч.7 стр.29</t>
  </si>
  <si>
    <t>ТЕРм10-08-001-08</t>
  </si>
  <si>
    <t>Прибор ОПС на 4 луча</t>
  </si>
  <si>
    <t>ТД Актив ч.7 стр.61</t>
  </si>
  <si>
    <t>ТЕРм10-02-016-06</t>
  </si>
  <si>
    <t>Отдельно устанавливаемый: преобразователь или блок питания</t>
  </si>
  <si>
    <t>Layta ч.7 стр.32</t>
  </si>
  <si>
    <t>ООО "ТД Тинко" ч.7 стр.63</t>
  </si>
  <si>
    <t>ТЕРм11-04-008-01</t>
  </si>
  <si>
    <t>Съемные и выдвижные блоки (модули, ячейки, ТЭЗ), масса: до 5 кг</t>
  </si>
  <si>
    <t>ABC Электро ч.7 стр.4</t>
  </si>
  <si>
    <t>ООО "ТД Тинко" ч.7 стр.5</t>
  </si>
  <si>
    <t>ТЕРм10-08-002-04</t>
  </si>
  <si>
    <t>Извещатель ОС автоматический: контактный, магнитоконтактный на открывание окон, дверей</t>
  </si>
  <si>
    <t>ООО "ЭТМ" ч.7 стр.7</t>
  </si>
  <si>
    <t>ТССЦ-61.2.04.03-0009</t>
  </si>
  <si>
    <t>Кнопка тревожной сигнализации с фиксацией Астра-321</t>
  </si>
  <si>
    <t>ТЕРм10-08-003-05</t>
  </si>
  <si>
    <t>Устройство оптико-(фото)электрическое,: прибор оптико-электрический в одноблочном исполнении</t>
  </si>
  <si>
    <t>Layta ч.7 стр.38</t>
  </si>
  <si>
    <t>ТЕРм08-03-593-10</t>
  </si>
  <si>
    <t>Световые настенные указатели</t>
  </si>
  <si>
    <t>ООО "ЭТМ" ч.7 стр.10</t>
  </si>
  <si>
    <t>ТЕРм10-02-030-01</t>
  </si>
  <si>
    <t>Аппарат телефонный системы ЦБ или АТС: настольный</t>
  </si>
  <si>
    <t>Проминдекс ч.7 стр.178</t>
  </si>
  <si>
    <t>ТЕРм08-02-390-01</t>
  </si>
  <si>
    <t>Короба пластмассовые: шириной до 40 мм</t>
  </si>
  <si>
    <t>ТССЦ-20.2.05.04-0022</t>
  </si>
  <si>
    <t>Кабель-канал (короб) "Электропласт": 15x10 мм</t>
  </si>
  <si>
    <t>Layta ч.7 стр.30</t>
  </si>
  <si>
    <t>ТЕРм10-08-003-06</t>
  </si>
  <si>
    <t>Устройство оптико-(фото)электрическое,: блок питания и контроля</t>
  </si>
  <si>
    <t>ТЕРм10-08-002-01</t>
  </si>
  <si>
    <t>Извещатели ПС автоматические тепловой электро-контактный, магнитоконтактный в нормальном исполнении</t>
  </si>
  <si>
    <t>ТССЦ-61.2.01.05-0023</t>
  </si>
  <si>
    <t>Извещатель охранный контактный: ИО-102-20 (А2П/ Б2П) поверхностный</t>
  </si>
  <si>
    <t>ТЕРм10-10-004-01</t>
  </si>
  <si>
    <t>Стационарные металлодетекторы арочного типа</t>
  </si>
  <si>
    <t>Видеоглаз ч.7 стр.71</t>
  </si>
  <si>
    <t>Видеоглаз ч.7 стр.72</t>
  </si>
  <si>
    <t>ТЕРм08-03-604-01</t>
  </si>
  <si>
    <t>Звонок электрический с кнопкой</t>
  </si>
  <si>
    <t>100 компл.</t>
  </si>
  <si>
    <t>САТРО ПАЛАДИН ч.7 стр.75</t>
  </si>
  <si>
    <t>ТЕРм10-10-007-01</t>
  </si>
  <si>
    <t>Монтаж домофона</t>
  </si>
  <si>
    <t>Вектор Видео ч.7 стр.46</t>
  </si>
  <si>
    <t>ТЕРм10-10-006-01</t>
  </si>
  <si>
    <t>Система управления доступом с автоматическим запирающим устройством</t>
  </si>
  <si>
    <t>ЛидерСБ ч.7 стр.21</t>
  </si>
  <si>
    <t>ТЕРм08-01-081-03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</si>
  <si>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концов: до 12</t>
  </si>
  <si>
    <t>ЛидерСБ ч.7 стр.20</t>
  </si>
  <si>
    <t>ЛидерСБ ч.7 стр.19</t>
  </si>
  <si>
    <t>Современные Технологии ч.7 стр.48</t>
  </si>
  <si>
    <t>ООО "ТД Тинко" ч.7 стр.154</t>
  </si>
  <si>
    <t>ТЕРм10-10-001-01</t>
  </si>
  <si>
    <t>Камеры видеонаблюдения: фиксированные</t>
  </si>
  <si>
    <t>ООО "Вектор Видео" ч.7 стр.106</t>
  </si>
  <si>
    <t>ООО "ТД Тинко" ч.7 стр.90</t>
  </si>
  <si>
    <t>ТЕРм10-03-013-05</t>
  </si>
  <si>
    <t>Коммутатор служебной связи</t>
  </si>
  <si>
    <t>ООО "ТД Тинко" ч.7 стр.180</t>
  </si>
  <si>
    <t>Видеоглаз ч.7 стр.125</t>
  </si>
  <si>
    <t>ТЕРм11-04-002-01</t>
  </si>
  <si>
    <t>Аппарат настольный, масса: до 0,015 т</t>
  </si>
  <si>
    <t>Layta ч.7 стр.109</t>
  </si>
  <si>
    <t>Фронтекс  ч.5 стр.180</t>
  </si>
  <si>
    <t>ООО "ТД Тинко" ч.7 стр.157</t>
  </si>
  <si>
    <t>Born ч.7 стр.165</t>
  </si>
  <si>
    <t>ТЕРм08-02-390-03</t>
  </si>
  <si>
    <t>Короба пластмассовые: шириной до 120 мм</t>
  </si>
  <si>
    <t>ANLAN ч.7 стр.114</t>
  </si>
  <si>
    <t>ИНКОМОС ч.7 стр.115</t>
  </si>
  <si>
    <t>Торговый дом Тинко ч.7 стр.116</t>
  </si>
  <si>
    <t>ТЕРм08-02-396-06</t>
  </si>
  <si>
    <t>Короб металлический по стенам и потолкам, длина: 3 м</t>
  </si>
  <si>
    <t>Vionet ч.7 стр.134</t>
  </si>
  <si>
    <t>ТЕРм08-02-399-01</t>
  </si>
  <si>
    <t>Провод в коробах, сечением: до 6 мм2</t>
  </si>
  <si>
    <t>ТЕРм08-02-399-02</t>
  </si>
  <si>
    <t>Провод в коробах, сечением: до 35 мм2</t>
  </si>
  <si>
    <t>ТЕРм10-06-048-08</t>
  </si>
  <si>
    <t>Прокладка волоконно-оптических кабелей в канализации: в полиэтиленовой трубе по свободному каналу трубопровода</t>
  </si>
  <si>
    <t>ТЕРм08-02-472-10</t>
  </si>
  <si>
    <t>Проводник заземляющий из медного изолированного провода сечением 25 мм2 открыто по строительным основаниям</t>
  </si>
  <si>
    <t>ТЕРм08-02-158-04</t>
  </si>
  <si>
    <t>Заделка концевая сухая для контрольного кабеля сечением одной жилы: до 2,5 мм2, количество жил до 4</t>
  </si>
  <si>
    <t>ТЕРм08-02-144-01</t>
  </si>
  <si>
    <t>Присоединение к зажимам жил проводов или кабелей сечением: до 2,5 мм2</t>
  </si>
  <si>
    <t>Системы Видеонаблюдения ч.7 стр.175</t>
  </si>
  <si>
    <t>ООО "ТД Тинко" ч.7 стр.172</t>
  </si>
  <si>
    <t>Кабель Москва ч.4 стр.110</t>
  </si>
  <si>
    <t>Алпа Технолоджи ч.4 стр.112</t>
  </si>
  <si>
    <t>ЭлектроКомплект ч.4 стр.121</t>
  </si>
  <si>
    <t>Layta ч.5 стр.14</t>
  </si>
  <si>
    <t>ООО "ЭКС" ч.7 стр.160</t>
  </si>
  <si>
    <t>ООО "ЭТМ"ч.7 стр.140</t>
  </si>
  <si>
    <t>ЛС 02-01-09 Поз.: 1-204.1</t>
  </si>
  <si>
    <t>ТЕР20-06-002-09</t>
  </si>
  <si>
    <t>Установка камер приточных типовых: с секцией орошения производительностью до 10 тыс.м3/час</t>
  </si>
  <si>
    <t>ТССЦ-01.7.15.02-0051</t>
  </si>
  <si>
    <t>Болты анкерные</t>
  </si>
  <si>
    <t>ТССЦ-01.7.15.11-0022</t>
  </si>
  <si>
    <t>Шайбы диаметром 8-12 мм</t>
  </si>
  <si>
    <t>ТССЦ-04.3.01.09-0012</t>
  </si>
  <si>
    <t>Раствор готовый кладочный цементный марки: 50</t>
  </si>
  <si>
    <t>ОВК  Ч.2 стр.243 п.1</t>
  </si>
  <si>
    <t>Шкаф (пульт) управления навесной, высота, ширина и глубина: до 600х600х350 мм- Автоматика</t>
  </si>
  <si>
    <t>ОВК Ч.2 стр.243п.2</t>
  </si>
  <si>
    <t>ТЕРм08-03-540-02</t>
  </si>
  <si>
    <t>Реостат постоянного тока пусковой или пускорегулирующий; регулятор возбуждения или установочный с ручным приводом, устанавливаемый на конструкции: на стене или колонне, масса до 25 кг- Преобразователь частоты</t>
  </si>
  <si>
    <t>ОВК  Ч.2 стр.243 п.3</t>
  </si>
  <si>
    <t>ТЕР18-06-005-01</t>
  </si>
  <si>
    <t>Установка элеваторов номером: 1, 2</t>
  </si>
  <si>
    <t>ОВК Ч.2 стр.243 п.4</t>
  </si>
  <si>
    <t>ТЕР20-01-001-02</t>
  </si>
  <si>
    <t>Прокладка воздуховодов из листовой, оцинкованной стали и алюминия класса Н (нормальные) толщиной: 0,5 мм, периметром до 600 мм</t>
  </si>
  <si>
    <t>ТССЦ-19.1.01.03-0072</t>
  </si>
  <si>
    <t>Воздуховоды из оцинкованной стали толщиной: 0,5 мм, периметром до 600 мм</t>
  </si>
  <si>
    <t>ТЕР20-01-001-10</t>
  </si>
  <si>
    <t>Прокладка воздуховодов из листовой, оцинкованной стали и алюминия класса Н (нормальные) толщиной: 0,7 мм, периметром от 1100 до 1600 мм</t>
  </si>
  <si>
    <t>ТССЦ-19.1.01.03-0024</t>
  </si>
  <si>
    <t>Воздуховоды из оцинкованной стали с шиной и уголками толщиной: 0,7 мм, периметром 1300 мм</t>
  </si>
  <si>
    <t>ТССЦ-19.1.01.03-0027</t>
  </si>
  <si>
    <t>Воздуховоды из оцинкованной стали с шиной и уголками толщиной: 0,7 мм, периметром 1600 мм</t>
  </si>
  <si>
    <t>ТЕР20-01-001-11</t>
  </si>
  <si>
    <t>Прокладка воздуховодов из листовой, оцинкованной стали и алюминия класса Н (нормальные) толщиной: 0,7 мм, периметром до 2400 мм (в т.ч. прим толщина 0,8мм)</t>
  </si>
  <si>
    <t>ТССЦ-19.1.01.03-0028</t>
  </si>
  <si>
    <t>Воздуховоды из оцинкованной стали с шиной и уголками толщиной: 0,7 мм, периметром 1700 мм</t>
  </si>
  <si>
    <t>ТССЦ-19.1.01.03-0029</t>
  </si>
  <si>
    <t>Воздуховоды из оцинкованной стали с шиной и уголками толщиной: 0,7 мм, периметром 1800 мм</t>
  </si>
  <si>
    <t>ТССЦ-19.1.01.03-0031</t>
  </si>
  <si>
    <t>Воздуховоды из оцинкованной стали с шиной и уголками толщиной: 0,7 мм, периметром 2000 мм (со стороной от 800 мм)</t>
  </si>
  <si>
    <t>ТССЦ-19.1.01.03-0079</t>
  </si>
  <si>
    <t>Воздуховоды из оцинкованной стали толщиной: 0,7 мм, периметром от 1700 до 4000 мм (периметр 1900мм)</t>
  </si>
  <si>
    <t>ТССЦ-19.1.01.03-0034</t>
  </si>
  <si>
    <t>Воздуховоды из оцинкованной стали с шиной и уголками толщиной: 0,7 мм, периметром 2200 мм (со стороной от 800 мм)</t>
  </si>
  <si>
    <t>ООО"Ровен-Симферополь Ч.4 стр.155</t>
  </si>
  <si>
    <t>ТЕР20-01-001-13</t>
  </si>
  <si>
    <t>Прокладка воздуховодов из листовой, оцинкованной стали и алюминия класса Н (нормальные) толщиной: 0,7 мм, периметром до 3600 мм (прим. толщина 0,8мм)</t>
  </si>
  <si>
    <t>ТЕР20-01-001-04</t>
  </si>
  <si>
    <t>Прокладка воздуховодов из листовой, оцинкованной стали и алюминия класса Н (нормальные) толщиной: 0,6 мм, диаметром до 250 мм</t>
  </si>
  <si>
    <t>ТССЦ-19.1.01.03-0073</t>
  </si>
  <si>
    <t>Воздуховоды из оцинкованной стали толщиной: 0,6 мм, диаметром до 250 мм</t>
  </si>
  <si>
    <t>"РусКлимат" Ч.2 стр.471</t>
  </si>
  <si>
    <t>ТССЦ-19.1.01.11-0001</t>
  </si>
  <si>
    <t>Крепления для воздуховодов оцинкованные (подвески СТД, подвески регулируемые СТД, тяги, хомуты, кронштейны, траверсы, ленты, шпильки, профили)</t>
  </si>
  <si>
    <t>ТЕР20-02-001-08</t>
  </si>
  <si>
    <t>Установка воздухораспределителей, предназначенных для подачи воздуха: в верхнюю зону, массой до 10 кг</t>
  </si>
  <si>
    <t>ТССЦ-19.1.05.02-0002</t>
  </si>
  <si>
    <t>Диффузор потолочный прямоугольный из алюминиевого профиля марки: ДП, размером 450х450 мм</t>
  </si>
  <si>
    <t>ТССЦ-19.1.05.02-0003</t>
  </si>
  <si>
    <t>Диффузор потолочный прямоугольный из алюминиевого профиля марки: ДП, размером 600х600 мм</t>
  </si>
  <si>
    <t>ТЕР20-06-010-01</t>
  </si>
  <si>
    <t>Установка камер обслуживания производительностью: до 10 тыс.м3/час</t>
  </si>
  <si>
    <t>Vent-style  Ч.2 стр.315</t>
  </si>
  <si>
    <t>ТЕР20-02-002-01</t>
  </si>
  <si>
    <t>Установка решеток жалюзийных площадью в свету: до 0,5 м2</t>
  </si>
  <si>
    <t>ТССЦ-19.2.03.02-0026</t>
  </si>
  <si>
    <t>Решетки вентиляционные алюминиевые "АРКТОС" типа: АДН, размером 150х150 мм</t>
  </si>
  <si>
    <t>ТЕР20-02-005-04</t>
  </si>
  <si>
    <t>Установка заслонок воздушных и клапанов воздушных КВР с ручным приводом: диаметром до 800 мм</t>
  </si>
  <si>
    <t>ТССЦ-19.3.01.02-0021</t>
  </si>
  <si>
    <t>Заслонки воздушные взрывозащищенные ручного управления размером: 250х250 мм, АЗД 193.000</t>
  </si>
  <si>
    <t>ТЕР20-02-004-16</t>
  </si>
  <si>
    <t>Установка клапанов: огнезадерживающих с ручной регулировкой периметром до 3200 мм</t>
  </si>
  <si>
    <t>ТССЦ-20.1.02.19-0011</t>
  </si>
  <si>
    <t>Трос</t>
  </si>
  <si>
    <t>ТССЦ-08.1.03.04-0001</t>
  </si>
  <si>
    <t>Блочки</t>
  </si>
  <si>
    <t>ВентКомфорт Ч.2 стр.237</t>
  </si>
  <si>
    <t>ВентКомфорт Ч.2 стр.238</t>
  </si>
  <si>
    <t>ТЕР20-02-005-01</t>
  </si>
  <si>
    <t>Установка заслонок воздушных и клапанов воздушных КВР с ручным приводом: диаметром до 250 мм</t>
  </si>
  <si>
    <t>ТССЦ-69.2.02.05-0085</t>
  </si>
  <si>
    <t>Клапаны противопожарные с электромеханическим приводом и возвратной пружиной типа: КПС-1 (60) диаметром 250 мм</t>
  </si>
  <si>
    <t>ТЕР26-01-054-01</t>
  </si>
  <si>
    <t>Обертывание поверхности изоляции рулонными материалами насухо с проклейкой швов</t>
  </si>
  <si>
    <t>ТССЦ-12.2.03.03-0015</t>
  </si>
  <si>
    <t>Отражающая изоляция "Пенофол 2000" тип: С, самоклеящийся, толщина 10 мм</t>
  </si>
  <si>
    <t>ТЕР26-01-022-02</t>
  </si>
  <si>
    <t>Изоляция плоских и криволинейных поверхностей штучными изделиями из пенополиуретана (плитами)</t>
  </si>
  <si>
    <t>ГК Оплот Ч.2 стр.259</t>
  </si>
  <si>
    <t>ОВК  Ч.2 стр.243 п.5</t>
  </si>
  <si>
    <t>ОВК Ч.2 стр.243 п.2</t>
  </si>
  <si>
    <t>ОВК Ч.2 стр.243 п.7</t>
  </si>
  <si>
    <t>ОВК Ч..2 стр.243 п.8</t>
  </si>
  <si>
    <t>ТЕР20-01-001-03</t>
  </si>
  <si>
    <t>Прокладка воздуховодов из листовой, оцинкованной стали и алюминия класса Н (нормальные) толщиной: 0,5 мм, периметром до 1000 мм</t>
  </si>
  <si>
    <t>ТССЦ-19.1.01.03-0047</t>
  </si>
  <si>
    <t>Воздуховоды из оцинкованной стали с шиной и уголками толщиной: 0,55 мм, периметром 800 мм</t>
  </si>
  <si>
    <t>ТССЦ-19.1.01.03-0048</t>
  </si>
  <si>
    <t>Воздуховоды из оцинкованной стали с шиной и уголками толщиной: 0,55 мм, периметром 900 мм</t>
  </si>
  <si>
    <t>ТЕР20-01-001-09</t>
  </si>
  <si>
    <t>Прокладка воздуховодов из листовой, оцинкованной стали и алюминия класса Н (нормальные) толщиной: 0,7 мм, периметром до 1000 мм</t>
  </si>
  <si>
    <t>ТССЦ-19.1.01.03-0021</t>
  </si>
  <si>
    <t>Воздуховоды из оцинкованной стали с шиной и уголками толщиной: 0,7 мм, периметром 1000 мм</t>
  </si>
  <si>
    <t>Прокладка воздуховодов из листовой, оцинкованной стали и алюминия класса Н (нормальные) толщиной: 0,7 мм, периметром от 1100 до 1600 мм (в т.ч. прим.толщина 0,8мм)</t>
  </si>
  <si>
    <t>ТССЦ-19.1.01.03-0022</t>
  </si>
  <si>
    <t>Воздуховоды из оцинкованной стали с шиной и уголками толщиной: 0,7 мм, периметром 1100 мм</t>
  </si>
  <si>
    <t>ТЕР20-01-001-12</t>
  </si>
  <si>
    <t>Прокладка воздуховодов из листовой, оцинкованной стали и алюминия класса Н (нормальные) толщиной: 0,7 мм, периметром до 3200 мм (прим. толщина 0,8мм)</t>
  </si>
  <si>
    <t>ТЕР20-01-001-01</t>
  </si>
  <si>
    <t>Прокладка воздуховодов из листовой, оцинкованной стали и алюминия класса Н (нормальные) толщиной: 0,5 мм, диаметром до 200 мм</t>
  </si>
  <si>
    <t>ТССЦ-19.1.01.03-0071</t>
  </si>
  <si>
    <t>Воздуховоды из оцинкованной стали толщиной: 0,5 мм, диаметром до 200 мм</t>
  </si>
  <si>
    <t>ТССЦ-19.1.01.05-0002</t>
  </si>
  <si>
    <t>Воздуховоды типа: SONODUCT (POLAR BEAR) звукопоглощающие теплоизолированные гибкие диаметром 127 мм</t>
  </si>
  <si>
    <t>ТССЦ-19.1.01.05-0003</t>
  </si>
  <si>
    <t>Воздуховоды типа: SONODUCT (POLAR BEAR) звукопоглощающие теплоизолированные гибкие диаметром 160 мм</t>
  </si>
  <si>
    <t>ТССЦ-19.1.01.05-0004</t>
  </si>
  <si>
    <t>Воздуховоды типа: SONODUCT (POLAR BEAR) звукопоглощающие теплоизолированные гибкие диаметром 203 мм</t>
  </si>
  <si>
    <t>ООО "Ровен" Ч.2 стр.292</t>
  </si>
  <si>
    <t>ООО "Ровен" Ч.2 стр.293</t>
  </si>
  <si>
    <t>ООО "Ровен" Ч.2 стр.295</t>
  </si>
  <si>
    <t>ТЕР20-02-004-15</t>
  </si>
  <si>
    <t>Установка клапанов: огнезадерживающих с ручной регулировкой периметром до 1600 мм</t>
  </si>
  <si>
    <t>ООО "Венткомфорт" Ч.2 стр.316</t>
  </si>
  <si>
    <t>ООО "Венткомфорт" Ч.2 стр.317</t>
  </si>
  <si>
    <t>ООО "Венткомфорт" Ч.2 стр.318</t>
  </si>
  <si>
    <t>ГК ТГВАльянс Ч.2 стр.414</t>
  </si>
  <si>
    <t>ОВК Ч.2 стр.243 п.9</t>
  </si>
  <si>
    <t>ОВК Ч..2 стр.243 п.12</t>
  </si>
  <si>
    <t>ТЕР20-01-001-08</t>
  </si>
  <si>
    <t>Прокладка воздуховодов из листовой, оцинкованной стали и алюминия класса Н (нормальные) толщиной: 0,7 мм, диаметром до 800 мм (прим. толщина 0,8мм)</t>
  </si>
  <si>
    <t>Прокладка воздуховодов из листовой, оцинкованной стали и алюминия класса Н (нормальные) толщиной: 0,7 мм, периметром до 1000 мм (прим. толщина 0,8мм)</t>
  </si>
  <si>
    <t>Прокладка воздуховодов из листовой, оцинкованной стали и алюминия класса Н (нормальные) толщиной: 0,7 мм, периметром до 2400 мм (прим.толщина 0,8мм)</t>
  </si>
  <si>
    <t>Прокладка воздуховодов из листовой, оцинкованной стали и алюминия класса Н (нормальные) толщиной: 0,7 мм, диаметром до 800 мм</t>
  </si>
  <si>
    <t>ТССЦ-19.1.05.03-0002</t>
  </si>
  <si>
    <t>Диффузоры потолочные металлические "DEC" марки DVS: вытяжные DVS, диаметр 125 мм</t>
  </si>
  <si>
    <t>ТССЦ-19.2.03.02-0021</t>
  </si>
  <si>
    <t>Решетки вентиляционные алюминиевые "АРКТОС" типа: АДН, размером 100х200 мм</t>
  </si>
  <si>
    <t>ТССЦ-19.3.01.02-0001</t>
  </si>
  <si>
    <t>Заслонки воздушные взрывозащищенные ручного управления диаметром: 200 мм, АЗД 196.000</t>
  </si>
  <si>
    <t>ТЕР20-02-005-06</t>
  </si>
  <si>
    <t>Установка заслонок воздушных и клапанов воздушных КВР с ручным приводом: периметром до 1000 мм</t>
  </si>
  <si>
    <t>ООО "Венткомфорт Ч.2 стр.337</t>
  </si>
  <si>
    <t>ТССЦ-69.2.02.05-0082</t>
  </si>
  <si>
    <t>Клапаны противопожарные с электромеханическим приводом и возвратной пружиной типа: КПС-1 (60) диаметром 125 мм</t>
  </si>
  <si>
    <t>Ladavent Ч.2 стр.359</t>
  </si>
  <si>
    <t>ТССЦ-69.2.02.05-0096</t>
  </si>
  <si>
    <t>Клапаны противопожарные с электромеханическим приводом и возвратной пружиной типа: КПС-1 (60) размером 200х200 мм</t>
  </si>
  <si>
    <t>ООО "Венткомфорт Ч.2 стр.474</t>
  </si>
  <si>
    <t>ОВК Ч.2 стр.243 п.12</t>
  </si>
  <si>
    <t>ТССЦ-19.1.01.03-0049</t>
  </si>
  <si>
    <t>Воздуховоды из оцинкованной стали с шиной и уголками толщиной: 0,55 мм, периметром 1000 мм</t>
  </si>
  <si>
    <t>Прокладка воздуховодов из листовой, оцинкованной стали и алюминия класса Н (нормальные) толщиной: 0,7 мм, периметром до 2400 мм (прим. толщина 0,8мм)</t>
  </si>
  <si>
    <t>ООО "Ровен" Ч.2 стр.294</t>
  </si>
  <si>
    <t>ООО "Венткомфорт" Ч.2 стр.474</t>
  </si>
  <si>
    <t>ТЕР20-03-003-01</t>
  </si>
  <si>
    <t>Установка вентиляторов крышных массой: до 0,1 т</t>
  </si>
  <si>
    <t>ТЕРм08-03-481-20</t>
  </si>
  <si>
    <t>Подготовка электрической машины переменного тока с короткозамкнутым ротором, со щитовыми подшипниками, поступающей в собранном виде, к испытанию, сдаче под наладку и пуску, присоединение к электрической сети, масса: до 0,15 т</t>
  </si>
  <si>
    <t>ОВК Ч.2 стр.239 п.1</t>
  </si>
  <si>
    <t>ТЕР20-02-013-05</t>
  </si>
  <si>
    <t>Установка узлов прохода вытяжных вентиляционных шахт диаметром патрубка: до 1000 мм</t>
  </si>
  <si>
    <t>ОВК Ч.2 стр.239 п.2</t>
  </si>
  <si>
    <t>ОВК Ч.2 стр.239 п.3</t>
  </si>
  <si>
    <t>Прокладка воздуховодов из листовой, оцинкованной стали и алюминия класса Н (нормальные) толщиной: 0,7 мм, периметром до 2400 мм (в т.ч. прим. толщина 0,8мм)</t>
  </si>
  <si>
    <t>ТЕР20-01-001-05</t>
  </si>
  <si>
    <t>Прокладка воздуховодов из листовой, оцинкованной стали и алюминия класса Н (нормальные) толщиной: 0,6 мм, диаметром до 355 мм</t>
  </si>
  <si>
    <t>ТССЦ-19.1.01.03-0074</t>
  </si>
  <si>
    <t>Воздуховоды из оцинкованной стали толщиной: 0,6 мм, диаметром до 450 мм</t>
  </si>
  <si>
    <t>ТЕР20-02-005-02</t>
  </si>
  <si>
    <t>Установка заслонок воздушных и клапанов воздушных КВР с ручным приводом: диаметром до 355 мм</t>
  </si>
  <si>
    <t>ТССЦ-19.3.01.02-0005</t>
  </si>
  <si>
    <t>Заслонки воздушные взрывозащищенные ручного управления диаметром: 355 мм, АЗД 196.000-04</t>
  </si>
  <si>
    <t>Ladavent Ч.2 стр.366</t>
  </si>
  <si>
    <t>ОВК Ч.2 стр.239 п.4</t>
  </si>
  <si>
    <t>ОВК Ч.2 стр.239 п.5</t>
  </si>
  <si>
    <t>ТССЦ-19.3.01.02-0002</t>
  </si>
  <si>
    <t>Заслонки воздушные взрывозащищенные ручного управления диаметром: 250 мм, АЗД 196.000-01</t>
  </si>
  <si>
    <t>ОВК Ч.2 стр.239 п.10</t>
  </si>
  <si>
    <t>ОВК Ч.2 стр.239 п.11</t>
  </si>
  <si>
    <t>ОВК Ч.2 стр.241 п.2</t>
  </si>
  <si>
    <t>ТССЦ-19.1.01.03-0046</t>
  </si>
  <si>
    <t>Воздуховоды из оцинкованной стали с шиной и уголками толщиной: 0,55 мм, периметром 700 мм</t>
  </si>
  <si>
    <t>Прокладка воздуховодов из листовой, оцинкованной стали и алюминия класса Н (нормальные) толщиной: 0,7 мм, периметром от 1100 до 1600 мм (в т.ч. прим толщина 0,8мм)</t>
  </si>
  <si>
    <t>ТССЦ-19.1.01.03-0023</t>
  </si>
  <si>
    <t>Воздуховоды из оцинкованной стали с шиной и уголками толщиной: 0,7 мм, периметром 1200 мм</t>
  </si>
  <si>
    <t>ТССЦ-19.2.03.02-0022</t>
  </si>
  <si>
    <t>Решетки вентиляционные алюминиевые "АРКТОС" типа: АДН, размером 100х300 мм</t>
  </si>
  <si>
    <t>ТССЦ-69.2.02.05-0083</t>
  </si>
  <si>
    <t>Клапаны противопожарные с электромеханическим приводом и возвратной пружиной типа: КПС-1 (60) диаметром 160 мм</t>
  </si>
  <si>
    <t>Ladavent Ч.2 стр.374</t>
  </si>
  <si>
    <t>Ladavent Ч.2 стр.375</t>
  </si>
  <si>
    <t>ТССЦ-19.1.05.03-0004</t>
  </si>
  <si>
    <t>Диффузоры потолочные металлические "DEC" марки DVS: вытяжные DVS, диаметр 200 мм</t>
  </si>
  <si>
    <t>ОВК Ч.2 стр.239 п.16</t>
  </si>
  <si>
    <t>ТССЦ-69.2.02.05-0084</t>
  </si>
  <si>
    <t>Клапаны противопожарные с электромеханическим приводом и возвратной пружиной типа: КПС-1 (60) диаметром 200 мм</t>
  </si>
  <si>
    <t>ТССЦ-69.2.02.05-0095</t>
  </si>
  <si>
    <t>Клапаны противопожарные с электромеханическим приводом и возвратной пружиной типа: КПС-1 (60) размером 150х150 мм</t>
  </si>
  <si>
    <t>Ladavent Ч.2 стр.382</t>
  </si>
  <si>
    <t>ТЕР20-03-002-01</t>
  </si>
  <si>
    <t>Установка вентиляторов осевых массой: до 0,025 т</t>
  </si>
  <si>
    <t>ТЕРм08-03-481-29</t>
  </si>
  <si>
    <t>Подготовка электрической машины переменного тока с фазным ротором или возбудителем на валу или машины постоянного тока, со щитовыми подшипниками, поступающей в собранном виде, к испытанию, сдаче под наладку и пуску, присоединение к электрической сети, масса: до 0,1 т</t>
  </si>
  <si>
    <t>ОВК Ч.2 стр.241 п.1</t>
  </si>
  <si>
    <t>ТЕР20-02-004-01</t>
  </si>
  <si>
    <t>Установка клапанов обратных: диаметром до 355 мм</t>
  </si>
  <si>
    <t>ООО "Венткомфорт" Ч.2 стр.345</t>
  </si>
  <si>
    <t>ТЕР20-02-018-01</t>
  </si>
  <si>
    <t>Установка вставок гибких к радиальным вентиляторам</t>
  </si>
  <si>
    <t>ЭнергоТехника Ч.2 стр.495</t>
  </si>
  <si>
    <t>ТЕР20-02-014-02</t>
  </si>
  <si>
    <t>Установка шумоглушителей вентиляционных трубчатых круглого сечения типа: ГТК 1-2, диаметр обечайки 200 мм</t>
  </si>
  <si>
    <t>SV-CONSTANTA.ч.2 стр.538</t>
  </si>
  <si>
    <t>ОВК Ч.2 стр.241 п.3</t>
  </si>
  <si>
    <t>ТССЦ-19.1.05.03-0003</t>
  </si>
  <si>
    <t>Диффузоры потолочные металлические "DEC" марки DVS: вытяжные DVS, диаметр 160 мм</t>
  </si>
  <si>
    <t>Реостат постоянного тока пусковой или пускорегулирующий; регулятор возбуждения или установочный с ручным приводом, устанавливаемый на конструкции: на стене или колонне, масса до 25 кг- Регулятор скорости</t>
  </si>
  <si>
    <t>ТССЦ-19.1.01.03-0051</t>
  </si>
  <si>
    <t>Воздуховоды из оцинкованной стали с шиной и уголками толщиной: 0,55 мм, периметром 1200 мм</t>
  </si>
  <si>
    <t>ТССЦ-19.2.03.02-0033</t>
  </si>
  <si>
    <t>Решетки вентиляционные алюминиевые "АРКТОС" типа: АДН, размером 200х200 мм</t>
  </si>
  <si>
    <t>ТССЦ-19.2.03.02-0027</t>
  </si>
  <si>
    <t>Решетки вентиляционные алюминиевые "АРКТОС" типа: АДН, размером 150х300 мм</t>
  </si>
  <si>
    <t>ТССЦ-19.2.03.02-0034</t>
  </si>
  <si>
    <t>Решетки вентиляционные алюминиевые "АРКТОС" типа: АДН, размером 200х300 мм</t>
  </si>
  <si>
    <t>Ladavent Ч.2 стр.393</t>
  </si>
  <si>
    <t>Магазин01Ч.2 стр.529</t>
  </si>
  <si>
    <t>ТЕР20-03-001-03</t>
  </si>
  <si>
    <t>Установка вентиляторов радиальных массой: до 0,2 т</t>
  </si>
  <si>
    <t>ОВК Ч.2 стр.241 п.24</t>
  </si>
  <si>
    <t>ОВК Ч.2 стр.241 п.25</t>
  </si>
  <si>
    <t>ОВК Ч.2 стр.242 п.26</t>
  </si>
  <si>
    <t>ОВК Ч.2 стр.241п.6</t>
  </si>
  <si>
    <t>ТЕР20-01-002-15</t>
  </si>
  <si>
    <t>Прокладка воздуховодов из листовой, оцинкованной стали и алюминия класса П (плотные) толщиной 0,9 мм, периметром до 4500 мм</t>
  </si>
  <si>
    <t>ТССЦ-19.1.01.03-0052</t>
  </si>
  <si>
    <t>Воздуховоды из оцинкованной стали с шиной и уголками толщиной: 1,0 мм, периметром 3000 мм</t>
  </si>
  <si>
    <t>ТЕР20-01-002-19</t>
  </si>
  <si>
    <t>Прокладка воздуховодов из листовой, оцинкованной стали и алюминия класса П (плотные) толщиной: 1,0 мм, диаметром до 1250 мм</t>
  </si>
  <si>
    <t>ТССЦ-19.1.01.03-0082</t>
  </si>
  <si>
    <t>Воздуховоды из оцинкованной стали толщиной: 1,0 мм, диаметром до 1000 мм</t>
  </si>
  <si>
    <t>ТЕР20-02-004-03</t>
  </si>
  <si>
    <t>Установка клапанов обратных: диаметром до 800 мм</t>
  </si>
  <si>
    <t>ЛисВент Ч.2 стр.447</t>
  </si>
  <si>
    <t>ООО "Венткомфорт" Ч.2 стр.350</t>
  </si>
  <si>
    <t>SV-CONSTANTA Ч.2 стр.536</t>
  </si>
  <si>
    <t>SV-CONSTANTA Ч.2 стр.535</t>
  </si>
  <si>
    <t>ТЕР20-03-002-02</t>
  </si>
  <si>
    <t>Установка вентиляторов осевых массой: до 0,05 т</t>
  </si>
  <si>
    <t>ОВК Ч.2 стр.241 п.4</t>
  </si>
  <si>
    <t>ОВК Ч.2 стр.241 п.5</t>
  </si>
  <si>
    <t>SV-CONSTANTA Ч.2 стр.537</t>
  </si>
  <si>
    <t>ТЕР20-03-001-02</t>
  </si>
  <si>
    <t>Установка вентиляторов радиальных массой: до 0,12 т</t>
  </si>
  <si>
    <t>ОВК Ч.2 стр.241 п.14</t>
  </si>
  <si>
    <t>ОВК Ч.2 стр.241 п.15</t>
  </si>
  <si>
    <t>ПОВК Ч.2 стр.241 п.17</t>
  </si>
  <si>
    <t>ОВК Ч.2 стр.241 п.6</t>
  </si>
  <si>
    <t>ТЕР20-02-009-09</t>
  </si>
  <si>
    <t>Установка зонтов над шахтами из листовой стали круглого сечения диаметром: 800 мм</t>
  </si>
  <si>
    <t>ТССЦ-19.2.02.04-0001</t>
  </si>
  <si>
    <t>Зонты вытяжные над оборудованием из листовой горячекатаной и сортовой стали</t>
  </si>
  <si>
    <t>ОВК Ч.2 стр.241 п.7</t>
  </si>
  <si>
    <t>ТЕР20-06-006-01</t>
  </si>
  <si>
    <t>Установка воздухонагревателей однорядных для обводного канала производительностью: до 10 тыс.м3/час</t>
  </si>
  <si>
    <t>ОВК Ч.2 стр.241 п.8</t>
  </si>
  <si>
    <t>ТЕР20-02-004-06</t>
  </si>
  <si>
    <t>Установка клапанов обратных: периметром до 1600 мм</t>
  </si>
  <si>
    <t>ООО "Венткомфорт" Ч.5 стр.248</t>
  </si>
  <si>
    <t>ОВК Ч.2 стр.241 п.9</t>
  </si>
  <si>
    <t>ОВК Ч.2 стр.24 1п.10</t>
  </si>
  <si>
    <t>ТССЦ-62.1.04.01-0003</t>
  </si>
  <si>
    <t>Датчик-реле давления ДРД-1, ДРД-6</t>
  </si>
  <si>
    <t>ТССЦ-63.4.03.01-0003</t>
  </si>
  <si>
    <t>Датчик температуры канальный TG-K330</t>
  </si>
  <si>
    <t>ТССЦ-63.4.03.01-0005</t>
  </si>
  <si>
    <t>Датчик температуры наружного воздуха ESMT с длиной трубки 100 мм</t>
  </si>
  <si>
    <t>ТЕР20-01-002-10</t>
  </si>
  <si>
    <t>Прокладка воздуховодов из листовой, оцинкованной стали и алюминия класса П (плотные) толщиной: 0,7 мм, периметром от 1100 до 1600 мм</t>
  </si>
  <si>
    <t>ТССЦ-19.2.03.02-0036</t>
  </si>
  <si>
    <t>Решетки вентиляционные алюминиевые "АРКТОС" типа: АДН, размером 200х500 мм</t>
  </si>
  <si>
    <t>ТЕР20-02-010-02</t>
  </si>
  <si>
    <t>Установка зонтов над шахтами из листовой стали прямоугольного сечения периметром: 1300 мм</t>
  </si>
  <si>
    <t>ОВК Ч.2 стр.241 п.19</t>
  </si>
  <si>
    <t>ОВК Ч.2 стр.241 п.20</t>
  </si>
  <si>
    <t>ОВК Ч.2 стр.241 п.21</t>
  </si>
  <si>
    <t>ОВК Ч.2 стр.241 п.22</t>
  </si>
  <si>
    <t>ОВК Ч.2 стр.241 п.23</t>
  </si>
  <si>
    <t>ТЕР20-02-009-10</t>
  </si>
  <si>
    <t>Установка зонтов над шахтами из листовой стали круглого сечения диаметром: 1000 мм</t>
  </si>
  <si>
    <t>ЛС 02-01-10 Поз.: 1-30.2</t>
  </si>
  <si>
    <t>в том числе:</t>
  </si>
  <si>
    <t>ТЕРм08-03-591-10</t>
  </si>
  <si>
    <t>Розетка штепсельная: полугерметическая и герметическая</t>
  </si>
  <si>
    <t>RS24.ru Ч.6 стр.110</t>
  </si>
  <si>
    <t>ТЕРм08-03-591-11</t>
  </si>
  <si>
    <t>Розетка штепсельная: трехполюсная</t>
  </si>
  <si>
    <t>RS24.ru Ч.6 стр.44</t>
  </si>
  <si>
    <t>ТЕРм08-10-010-01</t>
  </si>
  <si>
    <t>Прокладка труб гофрированных ПВХ для защиты проводов и кабелей</t>
  </si>
  <si>
    <t>ТССЦ-24.3.03.05-0005</t>
  </si>
  <si>
    <t>Трубы гибкие гофрированные легкие из ПНД, серии BL, диаметром: 40 мм</t>
  </si>
  <si>
    <t>ТЕРм08-02-395-02</t>
  </si>
  <si>
    <t>Лоток металлический штампованный по установленным конструкциям, ширина лотка: до 400 мм</t>
  </si>
  <si>
    <t>ТССЦ-20.2.07.03-0001</t>
  </si>
  <si>
    <t>Лоток кабельный лестничного типа: К-420, ширина 400 мм, длина 2 м</t>
  </si>
  <si>
    <t>ТЕРм08-03-591-02</t>
  </si>
  <si>
    <t>Выключатель: одноклавишный утопленного типа при скрытой проводке</t>
  </si>
  <si>
    <t>ТССЦ-20.4.01.02-0021</t>
  </si>
  <si>
    <t>Выключатель одноклавишный для скрытой проводки</t>
  </si>
  <si>
    <t>ООО "ЭКС" Ч.6 стр.126</t>
  </si>
  <si>
    <t>ТЕРм08-03-591-05</t>
  </si>
  <si>
    <t>Выключатель: двухклавишный утопленного типа при скрытой проводке</t>
  </si>
  <si>
    <t>RS24.ru Ч.6 стр.73</t>
  </si>
  <si>
    <t>ТЕРм08-03-594-01</t>
  </si>
  <si>
    <t>Светильник отдельно устанавливаемый: на штырях с количеством ламп в светильнике 1</t>
  </si>
  <si>
    <t>Актив Ч.6 стр.113</t>
  </si>
  <si>
    <t>ТЕРм08-03-594-13</t>
  </si>
  <si>
    <t>Светильник в подвесных потолках, устанавливаемый: на профиле, количество ламп в светильнике до 2</t>
  </si>
  <si>
    <t>ВенЛамп Ч.6 стр.159</t>
  </si>
  <si>
    <t>RS24.ru Ч.6 стр.124</t>
  </si>
  <si>
    <t>Электрик Ч.6 стр.128</t>
  </si>
  <si>
    <t>ТЕРм08-03-594-02</t>
  </si>
  <si>
    <t>Светильник отдельно устанавливаемый: на штырях с количеством ламп в светильнике 2</t>
  </si>
  <si>
    <t>ООО "ЭКС" Ч.6 стр.123</t>
  </si>
  <si>
    <t>ТЕР46-03-014-54</t>
  </si>
  <si>
    <t>Сверление горизонтальных отверстий в железобетонных конструкциях стен перфоратором глубиной 100 мм диаметром: 90 мм</t>
  </si>
  <si>
    <t>ТССЦ-11.3.03.15-0031</t>
  </si>
  <si>
    <t>Подрозетник под РПВ-1</t>
  </si>
  <si>
    <t>ТССЦ-20.5.02.11-0001</t>
  </si>
  <si>
    <t>Коробка для установки розеток и выключателей скрытой проводки</t>
  </si>
  <si>
    <t>1000 шт</t>
  </si>
  <si>
    <t>ТЕРм08-02-407-02</t>
  </si>
  <si>
    <t>Труба стальная по установленным конструкциям, по стенам с креплением скобами, диаметр: до 40 мм</t>
  </si>
  <si>
    <t>ТССЦ-23.3.05.02-0051</t>
  </si>
  <si>
    <t>Трубы стальные бесшовные, холоднодеформированные из стали марок 10, 20, 30, 45 (ГОСТ 8734- 75, 8733-74), наружным диаметром: 32 мм, толщина стенки 2,0 мм</t>
  </si>
  <si>
    <t>ТЕР46-03-015-06</t>
  </si>
  <si>
    <t>Устройство в бетонных конструкциях полов и стен борозд с использованием штробореза площадью сечения: свыше 20 см2 до 50 см2</t>
  </si>
  <si>
    <t>ТССЦ-24.3.01.03-0003</t>
  </si>
  <si>
    <t>Трубы гладкие жесткие из ПВХ "DKC" диаметром: 32 мм</t>
  </si>
  <si>
    <t>ТССЦ-24.3.01.03-0005</t>
  </si>
  <si>
    <t>Трубы гладкие жесткие из ПВХ "DKC" диаметром: 63 мм</t>
  </si>
  <si>
    <t>ООО "ЭКС" Ч.6 стр.89</t>
  </si>
  <si>
    <t>ООО "ЭКС" Ч.6 стр.90</t>
  </si>
  <si>
    <t>ТЕРм08-02-412-03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</si>
  <si>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16 мм2</t>
  </si>
  <si>
    <t>N-Kabel Ч.6 стр.103</t>
  </si>
  <si>
    <t>ООО "ЭКС" Ч.6 стр.87</t>
  </si>
  <si>
    <t>RS24.ru Ч.6 стр.105</t>
  </si>
  <si>
    <t>ТЕРм08-02-412-04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</si>
  <si>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35 мм2</t>
  </si>
  <si>
    <t>ООО "ЭКС" Ч.6 стр.86</t>
  </si>
  <si>
    <t>Kabel23.ru Ч.6 стр.100</t>
  </si>
  <si>
    <t>ТЕРм08-02-412-07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</si>
  <si>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150 мм2</t>
  </si>
  <si>
    <t>ТЕРм08-02-412-08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</si>
  <si>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240 мм2</t>
  </si>
  <si>
    <t>N-Kabel Ч.6 стр.40</t>
  </si>
  <si>
    <t>ТЕРм08-02-398-01</t>
  </si>
  <si>
    <t>Провод в лотках, сечением: до 6 мм2</t>
  </si>
  <si>
    <t>RS24.ru Ч.6 стр.78</t>
  </si>
  <si>
    <t>ТЕРм08-02-398-02</t>
  </si>
  <si>
    <t>Провод в лотках, сечением: до 35 мм2</t>
  </si>
  <si>
    <t>RS24.ru Ч.6 стр.76</t>
  </si>
  <si>
    <t>N-Kabel ч.6 стр.37</t>
  </si>
  <si>
    <t>Svetera Ч.6 стр.49</t>
  </si>
  <si>
    <t>ТЕРм08-02-398-03</t>
  </si>
  <si>
    <t>Провод в лотках, сечением: до 70 мм2</t>
  </si>
  <si>
    <t>RS24.ru Ч.6 стр.108</t>
  </si>
  <si>
    <t>Кабельные Системы Ч.6 стр.84</t>
  </si>
  <si>
    <t>ООО "ЭКС" Ч.6 стр.70</t>
  </si>
  <si>
    <t>ТЕРм08-02-403-02</t>
  </si>
  <si>
    <t>Провод групповой в защитной оболочке или кабель трех-пятижильный в готовых каналах стен и перекрытий</t>
  </si>
  <si>
    <t>ООО "ЭКС" Ч.6 стр.85</t>
  </si>
  <si>
    <t>ООО "РКБ" Ч.6 стр.57</t>
  </si>
  <si>
    <t>ТЕРм08-02-472-08</t>
  </si>
  <si>
    <t>Проводник заземляющий открыто по строительным основаниям: из круглой стали диаметром 8 мм</t>
  </si>
  <si>
    <t>ООО "ЭКС" Ч.6 стр.114</t>
  </si>
  <si>
    <t>ТССЦ-10.2.02.10-0001</t>
  </si>
  <si>
    <t>Прутики медные</t>
  </si>
  <si>
    <t>ЭлкомЭлектро Ч.6 стр.98</t>
  </si>
  <si>
    <t>ТССЦ-08.1.02.02-0003</t>
  </si>
  <si>
    <t>Держатель для молниеприемника кровельный: 157/FK-Cu-230, длина 280 мм, для проволоки диаметром 8- 10 мм</t>
  </si>
  <si>
    <t>ТЕРм08-02-472-07</t>
  </si>
  <si>
    <t>Проводник заземляющий открыто по строительным основаниям: из полосовой стали сечением 160 мм2</t>
  </si>
  <si>
    <t>ТССЦ-08.3.07.01-0071</t>
  </si>
  <si>
    <t>Сталь полосовая, марка стали: ВСт3кп, размером 5х40 мм</t>
  </si>
  <si>
    <t>ТЕРм08-02-158-14</t>
  </si>
  <si>
    <t>Заделка концевая сухая для 3-5-жильного кабеля с пластмассовой и резиновой изоляцией напряжением до 1 кВ, сечение одной жилы от 1,5 мм2 до 35 мм2</t>
  </si>
  <si>
    <t>ТЕРм08-03-572-04</t>
  </si>
  <si>
    <t>Блок управления шкафного исполнения или распределительный пункт (шкаф), устанавливаемый: на стене, высота и ширина до 1200х1000 мм</t>
  </si>
  <si>
    <t>ООО "ЭТМ" Ч.6 стр.142 п.1</t>
  </si>
  <si>
    <t>ООО "ЭТМ" Ч.6 стр.142 п.2</t>
  </si>
  <si>
    <t>ООО "ЭТМ" Ч.6 стр.142 п.3</t>
  </si>
  <si>
    <t>ООО "ЭТМ" Ч.6 стр.142 п.4</t>
  </si>
  <si>
    <t>ООО "ЭТМ"  Ч.6 стр.142 п.5</t>
  </si>
  <si>
    <t>ТЕРм08-03-572-09</t>
  </si>
  <si>
    <t>Блок управления шкафного исполнения или распределительный пункт (шкаф), устанавливаемый: в нише, высота и ширина до 1300х850 мм</t>
  </si>
  <si>
    <t>ООО "ЭТМ" Ч.6 стр.142 п.6</t>
  </si>
  <si>
    <t>ООО "ЭТМ" Ч.6 стр.142 п.7</t>
  </si>
  <si>
    <t>ООО "ЭТМ" Ч.6 стр.142 п.8</t>
  </si>
  <si>
    <t>ООО "ЭТМ" Ч.6 стр.142 п.11</t>
  </si>
  <si>
    <t>ООО "ЭТМ" Ч.6 стр.142 п.9</t>
  </si>
  <si>
    <t>ТЕРм08-03-572-08</t>
  </si>
  <si>
    <t>Блок управления шкафного исполнения или распределительный пункт (шкаф), устанавливаемый: в нише, высота и ширина до 700х850 мм</t>
  </si>
  <si>
    <t>ООО "ЭТМ" Ч.6 стр.142 п.10</t>
  </si>
  <si>
    <t>ООО "ЭТМ" Ч.6 стр.143 п.12</t>
  </si>
  <si>
    <t>ООО "ЭТМ" Ч.6 стр.143 п.13</t>
  </si>
  <si>
    <t>ООО "ЭТМ" Ч.6 стр.143 п.14</t>
  </si>
  <si>
    <t>ТЕРм08-03-572-07</t>
  </si>
  <si>
    <t>Блок управления шкафного исполнения или распределительный пункт (шкаф), устанавливаемый: на полу, высота и ширина до 1700х1100 мм</t>
  </si>
  <si>
    <t>ООО "ЭТМ" Ч.6 стр.143 п.17</t>
  </si>
  <si>
    <t>ПромЭлектроСервис Ч.6 стр.148</t>
  </si>
  <si>
    <t>ЛС 02-01-11 Поз.: 1--23.4</t>
  </si>
  <si>
    <t>ТЕР18-03-001-02</t>
  </si>
  <si>
    <t>Установка радиаторов: стальных</t>
  </si>
  <si>
    <t>100 кВт</t>
  </si>
  <si>
    <t>ТССЦ-01.7.15.07-0005</t>
  </si>
  <si>
    <t>Дюбели монтажные 10х130 (10х132, 10х150) мм</t>
  </si>
  <si>
    <t>ТССЦ-01.7.15.14-0175</t>
  </si>
  <si>
    <t>Шурупы с полукруглой головкой: 8х60 мм</t>
  </si>
  <si>
    <t>ТССЦ-18.5.10.06-0120</t>
  </si>
  <si>
    <t>Радиаторы стальные панельные марка: «Purmo», тип C11, мощность 1193 Вт, размер 500х900 мм</t>
  </si>
  <si>
    <t>ТССЦ-18.5.10.06-0121</t>
  </si>
  <si>
    <t>Радиаторы стальные панельные марка: «Purmo», тип C11, мощность 1326 Вт, размер 500х1000 мм</t>
  </si>
  <si>
    <t>ТССЦ-18.5.10.06-0070</t>
  </si>
  <si>
    <t>Радиаторы стальные панельные марка: «Henrad», тип V22, мощность 1751 Вт, размер 300х1400 мм</t>
  </si>
  <si>
    <t>ТССЦ-18.5.10.06-0072</t>
  </si>
  <si>
    <t>Радиаторы стальные панельные марка: «Henrad», тип V22, мощность 2002 Вт, размер 300х1600 мм</t>
  </si>
  <si>
    <t>ТССЦ-18.5.10.06-0061</t>
  </si>
  <si>
    <t>Радиаторы стальные панельные марка: «Henrad», тип V22, мощность 953 Вт, размер 500х500 мм</t>
  </si>
  <si>
    <t>ТССЦ-18.5.10.06-0066</t>
  </si>
  <si>
    <t>Радиаторы стальные панельные марка: «Henrad», тип V22, мощность 1334 Вт, размер 500х700 мм</t>
  </si>
  <si>
    <t>ТССЦ-18.5.10.06-0068</t>
  </si>
  <si>
    <t>Радиаторы стальные панельные марка: «Henrad», тип V22, мощность 1524 Вт, размер 500х800 мм</t>
  </si>
  <si>
    <t>ТССЦ-18.5.10.06-0069</t>
  </si>
  <si>
    <t>Радиаторы стальные панельные марка: «Henrad», тип V22, мощность 1715 Вт, размер 500х900 мм</t>
  </si>
  <si>
    <t>ТССЦ-18.5.10.06-0071</t>
  </si>
  <si>
    <t>Радиаторы стальные панельные марка: «Henrad», тип V22, мощность 1905 Вт, размер 500х1000 мм</t>
  </si>
  <si>
    <t>ТССЦ-18.5.10.06-0073</t>
  </si>
  <si>
    <t>Радиаторы стальные панельные марка: «Henrad», тип V22, мощность 2096 Вт, размер 500х1100 мм</t>
  </si>
  <si>
    <t>ТССЦ-18.5.10.06-0075</t>
  </si>
  <si>
    <t>Радиаторы стальные панельные марка: «Henrad», тип V22, мощность 2286 Вт, размер 500х1200 мм</t>
  </si>
  <si>
    <t>ТССЦ-18.5.10.06-0080</t>
  </si>
  <si>
    <t>Радиаторы стальные панельные марка: «Henrad», тип V22, мощность 3048 Вт, размер 500х1600 мм</t>
  </si>
  <si>
    <t>Ч.2 стр.44 п.23  ООО "АкваТех"</t>
  </si>
  <si>
    <t>шт.</t>
  </si>
  <si>
    <t>Ч.2 стр.3 п.14  ООО "АкваТех"</t>
  </si>
  <si>
    <t>Ч.2 стр.44 п.20  ООО "АкваТех"</t>
  </si>
  <si>
    <t>ТССЦ-18.5.10.06-0174</t>
  </si>
  <si>
    <t>Радиаторы стальные панельные марка: «Purmo», тип C33, мощность 2825 Вт, размер 500х900 мм</t>
  </si>
  <si>
    <t>ТССЦ-18.5.10.06-0176</t>
  </si>
  <si>
    <t>Радиаторы стальные панельные марка: «Purmo», тип C33, мощность 3453 Вт, размер 500х1100 мм</t>
  </si>
  <si>
    <t>ТССЦ-18.5.10.06-0177</t>
  </si>
  <si>
    <t>Радиаторы стальные панельные марка: «Purmo», тип C33, мощность 3767 Вт, размер 500х1200 мм прим.</t>
  </si>
  <si>
    <t>ТССЦ-18.5.10.06-0178</t>
  </si>
  <si>
    <t>Радиаторы стальные панельные марка: «Purmo», тип C33, мощность 4395 Вт, размер 500х1400 мм</t>
  </si>
  <si>
    <t>ТССЦ-18.5.10.06-0179</t>
  </si>
  <si>
    <t>Радиаторы стальные панельные марка: «Purmo», тип C33, мощность 5023 Вт, размер 500х1600 мм прим.</t>
  </si>
  <si>
    <t>ТССЦ-18.5.10.06-0181</t>
  </si>
  <si>
    <t>Радиаторы стальные панельные марка: «Purmo», тип C33, мощность 6279 Вт, размер 500х2000 мм</t>
  </si>
  <si>
    <t>Установка столов, шкафов под мойки, холодильных шкафов и др.(Прим.)-Установка декоративных экранов для радиаторов</t>
  </si>
  <si>
    <t>ТССЦ-11.2.07.12-0011</t>
  </si>
  <si>
    <t>Штапик (раскладка), размер 19х19 мм</t>
  </si>
  <si>
    <t>Ч.2 стр.155 п.40  ООО "АкваТех"</t>
  </si>
  <si>
    <t>Ч.2 стр.160 п.47  ООО "АкваТех"</t>
  </si>
  <si>
    <t>Ч.2 стр.156 п.60  ООО "АкваТех"</t>
  </si>
  <si>
    <t>Ч.2 стр.156 п.52  ООО "АкваТех"</t>
  </si>
  <si>
    <t>Ч.2 стр.155 п.44 ООО "АкваТех"</t>
  </si>
  <si>
    <t>Ч.2 стр.155 п.45  ООО "АкваТех"</t>
  </si>
  <si>
    <t>Ч.2 стр.3 п.9 ООО "АкваТех"</t>
  </si>
  <si>
    <t>Ч.2 стр.3 п.10 ООО "АкваТех"</t>
  </si>
  <si>
    <t>Ч.2 стр.3 п.11  ООО "АкваТех"</t>
  </si>
  <si>
    <t>Ч.2 стр.44 п.22  ООО "АкваТех"</t>
  </si>
  <si>
    <t>Ч.2 стр.3 п.16  ООО "АкваТех"</t>
  </si>
  <si>
    <t>Ч.2 стр.3 п.17  ООО "АкваТех"</t>
  </si>
  <si>
    <t>Ч.2 стр.4 п.18  ООО "АкваТех"</t>
  </si>
  <si>
    <t>Ч.2 стр.4 п.19 ООО "АкваТех"</t>
  </si>
  <si>
    <t>Ч.2 стр.44 п.20 ООО "АкваТех"</t>
  </si>
  <si>
    <t>Ч.2 стр.4 п.21  ООО "АкваТех"</t>
  </si>
  <si>
    <t>ТССЦ-18.5.10.08-0001</t>
  </si>
  <si>
    <t>Головка термостатическая с выносным датчиком для автоматического регулирования расхода теплоносителя через отопительный прибор</t>
  </si>
  <si>
    <t>ТССЦ-18.5.10.08-0002</t>
  </si>
  <si>
    <t>Головка термостатическая со встроенным датчиком для автоматического регулирования расхода теплоносителя через отопительный прибор</t>
  </si>
  <si>
    <t>Аквалинк Ч.5 стр.255</t>
  </si>
  <si>
    <t>ТССЦ-18.1.10.06-0003</t>
  </si>
  <si>
    <t>Клапан радиаторный ручной настройки BROEN BALLOTHERM для системы отопления, латунный никелированный, с предварительной настройкой пропускной способности, давлением 1,0 МПа (10 кгс/см2), диаметром 15 мм, проходной, присоединение 1/2"х1/2"</t>
  </si>
  <si>
    <t>ТССЦ-18.1.10.06-0012</t>
  </si>
  <si>
    <t>Клапан термостатический из цветных металлов (без головки) для установки на радиатор, давлением 1,0 МПа (10 кгс/см2), диаметром: 15 мм</t>
  </si>
  <si>
    <t>ТССЦ-18.1.11.01-0001</t>
  </si>
  <si>
    <t>Регулятор давления для горячей и холодной воды муфтовый латунный STC, давлением 1 МПа (10 кгс/см2), диаметром: 15 мм</t>
  </si>
  <si>
    <t>ТССЦ-18.1.11.01-0002</t>
  </si>
  <si>
    <t>Регулятор давления для горячей и холодной воды муфтовый латунный STC, давлением 1 МПа (10 кгс/см2), диаметром: 20 мм</t>
  </si>
  <si>
    <t>ТССЦ-18.1.11.01-0003</t>
  </si>
  <si>
    <t>Регулятор давления для горячей и холодной воды муфтовый латунный STC, давлением 1 МПа (10 кгс/см2), диаметром: 25 мм</t>
  </si>
  <si>
    <t>ТССЦ-18.1.10.06-0001</t>
  </si>
  <si>
    <t>Клапан радиаторный регулирующий ручной из цветных металлов давлением 1,0 МПа (10 кгс/см2), диаметром 15 мм</t>
  </si>
  <si>
    <t>ТССЦ-18.1.10.06-0002</t>
  </si>
  <si>
    <t>Клапан радиаторный регулирующий ручной из цветных металлов давлением 1,0 МПа (10 кгс/см2), диаметром 20 мм</t>
  </si>
  <si>
    <t>Клапан радиаторный регулирующий ручной из цветных металлов давлением 1,0 МПа (10 кгс/см2), диаметром 20 мм (Прим.) 25мм</t>
  </si>
  <si>
    <t>ТССЦ-18.1.09.08-0274</t>
  </si>
  <si>
    <t>Краны шаровые BUGATTI для воды и пара стандартные: ВВ с размером резьбы 1/2"</t>
  </si>
  <si>
    <t>ТССЦ-18.1.09.08-0276</t>
  </si>
  <si>
    <t>Краны шаровые BUGATTI для воды и пара стандартные: ВВ с размером резьбы 3/4"</t>
  </si>
  <si>
    <t>ТССЦ-18.1.09.08-0273</t>
  </si>
  <si>
    <t>Краны шаровые BUGATTI для воды и пара стандартные: ВВ с размером резьбы 1"</t>
  </si>
  <si>
    <t>ТССЦ-19.1.02.01-0002</t>
  </si>
  <si>
    <t>Воздухоотводчик BROEN BALLOFIX, давление 1,6 МПа (16 кгс/см2), диаметр: 15 мм, присоединение 1/2"</t>
  </si>
  <si>
    <t>Ч.2 стр.140 Valtec</t>
  </si>
  <si>
    <t>ТССЦ-24.1.02.01-0115</t>
  </si>
  <si>
    <t>Хомуты для крепления: трубопроводов Фузиотерм, диаметром 25 мм</t>
  </si>
  <si>
    <t>Ч.2 стр.141 Valtec</t>
  </si>
  <si>
    <t>Ч.2 стр.142 Valtec</t>
  </si>
  <si>
    <t>ТССЦ-24.1.02.01-0116</t>
  </si>
  <si>
    <t>Хомуты для крепления: трубопроводов Фузиотерм, диаметром 32 мм</t>
  </si>
  <si>
    <t>Ч.2 стр.143 Valtec</t>
  </si>
  <si>
    <t>ТССЦ-24.1.02.01-0117</t>
  </si>
  <si>
    <t>Хомуты для крепления: трубопроводов Фузиотерм, диаметром 40 мм</t>
  </si>
  <si>
    <t>Ч.2 стр.144 Valtec</t>
  </si>
  <si>
    <t>ТССЦ-24.1.02.01-0119</t>
  </si>
  <si>
    <t>Хомуты для крепления: трубопроводов Фузиотерм, диаметром 63 мм</t>
  </si>
  <si>
    <t>Ч.2 стр.145 Valtec</t>
  </si>
  <si>
    <t>ТССЦ-24.1.02.01-0120</t>
  </si>
  <si>
    <t>Хомуты для крепления: трубопроводов Фузиотерм, диаметром 75 мм</t>
  </si>
  <si>
    <t>ТЕР16-04-005-07</t>
  </si>
  <si>
    <t>Прокладка внутренних трубопроводов водоснабжения и отопления из полипропиленовых труб: 75 мм</t>
  </si>
  <si>
    <t>Ч.2 стр.146  Valtec</t>
  </si>
  <si>
    <t>ТССЦ-12.2.08.01-0063</t>
  </si>
  <si>
    <t>Цилиндры навивные кашированные алюминиевой фольгой, марка "ROCKWOOL 100" толщиной: 40 мм, диаметром 76 мм</t>
  </si>
  <si>
    <t>ТССЦ-12.2.08.01-0061</t>
  </si>
  <si>
    <t>Цилиндры навивные кашированные алюминиевой фольгой, марка "ROCKWOOL 100" толщиной: 40 мм, диаметром 64 мм</t>
  </si>
  <si>
    <t>ТССЦ-12.2.08.01-0059</t>
  </si>
  <si>
    <t>Цилиндры навивные кашированные алюминиевой фольгой, марка "ROCKWOOL 100" толщиной: 40 мм, диаметром 57 мм</t>
  </si>
  <si>
    <t>ТССЦ-12.2.08.01-0054</t>
  </si>
  <si>
    <t>Цилиндры навивные кашированные алюминиевой фольгой, марка "ROCKWOOL 100" толщиной: 40 мм, диаметром 35 мм</t>
  </si>
  <si>
    <t>ТССЦ-12.2.08.01-0052</t>
  </si>
  <si>
    <t>Цилиндры навивные кашированные алюминиевой фольгой, марка "ROCKWOOL 100" толщиной: 40 мм, диаметром 25 мм</t>
  </si>
  <si>
    <t>ТССЦ-12.2.08.01-0051</t>
  </si>
  <si>
    <t>Цилиндры навивные кашированные алюминиевой фольгой, марка "ROCKWOOL 100" толщиной: 40 мм, диаметром 21 мм</t>
  </si>
  <si>
    <t>ТССЦ-12.2.07.04-0190</t>
  </si>
  <si>
    <t>Трубки из вспененного каучука, толщиной: 9 мм, диаметром 42 мм</t>
  </si>
  <si>
    <t>ТССЦ-12.2.07.04-0189</t>
  </si>
  <si>
    <t>Трубки из вспененного каучука, толщиной: 9 мм, диаметром 35 мм</t>
  </si>
  <si>
    <t>ТССЦ-12.2.07.04-0187</t>
  </si>
  <si>
    <t>Трубки из вспененного каучука, толщиной: 9 мм, диаметром 28 мм</t>
  </si>
  <si>
    <t>ТССЦ-12.2.07.04-0186</t>
  </si>
  <si>
    <t>Трубки из вспененного каучука, толщиной: 9 мм, диаметром 22 мм</t>
  </si>
  <si>
    <t>ТССЦ-23.3.06.04-0013</t>
  </si>
  <si>
    <t>Трубы стальные сварные водогазопроводные с резьбой черные легкие (неоцинкованные) диаметр условного прохода: 80 мм, толщина стенки 3,5 мм</t>
  </si>
  <si>
    <t>ТЕР16-07-006-01</t>
  </si>
  <si>
    <t>Заделка сальников при проходе труб через фундаменты или стены подвала диаметром: до 100 мм</t>
  </si>
  <si>
    <t>ТЕРм11-06-001-01</t>
  </si>
  <si>
    <t>Щиты и пульты, масса: до 50 кг -(прим. Модуль управления для системы напольного отопления)</t>
  </si>
  <si>
    <t>Ч.2 стр.60 ООО "ТеплоСток"</t>
  </si>
  <si>
    <t>ТЕР16-04-003-01</t>
  </si>
  <si>
    <t>Прокладка трубопроводов водоснабжения и отопления из хлорированных поливинилхлоридных труб (ХПВХ) диаметром: до 32 мм</t>
  </si>
  <si>
    <t>ТССЦ-24.3.03.01-0001</t>
  </si>
  <si>
    <t>Труба полиэтиленовая PE-Xc "Сорех" для водяного тепла диаметром 16х2 мм (Прим.) 18х2,5</t>
  </si>
  <si>
    <t>Ч.2 стр.100 ООО "ТеплоСток"</t>
  </si>
  <si>
    <t>ТССЦ-24.3.05.17-0201</t>
  </si>
  <si>
    <t>Фиксатор изгиба трубы без разрыва и установки угольника ИГЛ БИР ПЕКС (Eagle BP), диаметром 16 мм</t>
  </si>
  <si>
    <t>ТССЦ-18.5.08.13-0011</t>
  </si>
  <si>
    <t>Трубки защитные гофрированные</t>
  </si>
  <si>
    <t>ТССЦ-20.2.05.02-0021</t>
  </si>
  <si>
    <t>Скоба якорная пластмассовая для труб диаметром 14 и 16 мм (набор 200 шт.)</t>
  </si>
  <si>
    <t>ТЕР11-01-051-04</t>
  </si>
  <si>
    <t>Устройство теплоизоляционного слоя из рулонных материалов с отражающим эффектом для систем электрического обогрева полов</t>
  </si>
  <si>
    <t>ТССЦ-12.1.01.03-0034</t>
  </si>
  <si>
    <t>Пленка пароизоляционная фольгированная, марка "Ондутис R Термо 25"</t>
  </si>
  <si>
    <t>ТЕРм10-06-037-05</t>
  </si>
  <si>
    <t>Шкаф для трубных проводок: настенный, размер до 640х840 мм</t>
  </si>
  <si>
    <t>ТССЦ-18.5.08.16-0003</t>
  </si>
  <si>
    <t>Шкаф электромонтажный для ВКТ-7 в сборе</t>
  </si>
  <si>
    <t>Ч.2 стр.146 Valtec</t>
  </si>
  <si>
    <t>ТССЦ-12.2.08.01-0056</t>
  </si>
  <si>
    <t>Цилиндры навивные кашированные алюминиевой фольгой, марка "ROCKWOOL 100" толщиной: 40 мм, диаметром 42 мм</t>
  </si>
  <si>
    <t>ЛС 02-01-12 Поз.: 1--206</t>
  </si>
  <si>
    <t>ООО "Центр Школьной Комплектации" ч.2.стр.176 п.1</t>
  </si>
  <si>
    <t>ООО "Центр Школьной Комплектации" ч.2.стр.176 п.2</t>
  </si>
  <si>
    <t>ООО "Центр Школьной Комплектации" ч.2.стр.176 п.3</t>
  </si>
  <si>
    <t>ООО "Центр Школьной Комплектации" ч.2.стр.176 п.4</t>
  </si>
  <si>
    <t>ООО "Центр Школьной Комплектации" ч.2.стр.176 п.5</t>
  </si>
  <si>
    <t>ООО "Центр Школьной Комплектации" ч.2.стр.176 п.7</t>
  </si>
  <si>
    <t>ООО "Центр Школьной Комплектации" ч.2.стр.176 п.6</t>
  </si>
  <si>
    <t>ООО "Центр Школьной Комплектации" ч.2.стр.176 п.8</t>
  </si>
  <si>
    <t>ООО "Центр Школьной Комплектации" ч.2.стр.176 п.9</t>
  </si>
  <si>
    <t>ООО "Центр Школьной Комплектации" ч.2.стр.176 п.10</t>
  </si>
  <si>
    <t>ООО "Центр Школьной Комплектации" Ч.2 стр.176 п.11</t>
  </si>
  <si>
    <t>ООО "Центр Школьной Комплектации" ч.2.стр.176 п.12</t>
  </si>
  <si>
    <t>ООО "Центр Школьной Комплектации" ч.2.стр.176 п.13</t>
  </si>
  <si>
    <t>ООО "Центр Школьной Комплектации" ч.2.стр.176 п.14</t>
  </si>
  <si>
    <t>ООО "Центр Школьной Комплектации" ч.2.стр.176 п.15</t>
  </si>
  <si>
    <t>ООО "Центр Школьной Комплектации"ч.2.стр.176 п.16</t>
  </si>
  <si>
    <t>ООО "Центр Школьной Комплектации" ч.2.стр.176 п.17</t>
  </si>
  <si>
    <t>ООО "Центр Школьной Комплектации" ч.2.стр.176 п.19</t>
  </si>
  <si>
    <t>Аппарат настольный, масса: до 0,015 т (экран ЖК, монитор, процессор, "мышь", клавиатура)</t>
  </si>
  <si>
    <t>ООО "Центр Школьной Комплектации" ч.2.стр.176 п.18</t>
  </si>
  <si>
    <t>ООО "Центр Школьной Комплектации" ч.2.стр.176 п.21</t>
  </si>
  <si>
    <t>ООО "Центр Школьной Комплектации" ч.2.стр.177 п.22</t>
  </si>
  <si>
    <t>ООО "Центр Школьной Комплектации" ч.2.стр.177 п.23</t>
  </si>
  <si>
    <t>Аппарат настольный, масса: до 0,015 т -(прим. Проектор)</t>
  </si>
  <si>
    <t>ООО "Центр Школьной Комплектации" ч.2.стр.177 п.24</t>
  </si>
  <si>
    <t>ООО "Центр Школьной Комплектации" ч.2.стр.177 п.25</t>
  </si>
  <si>
    <t>ООО "Центр Школьной Комплектации" ч.2.стр.177 п.26</t>
  </si>
  <si>
    <t>ООО "Центр Школьной Комплектации" ч.2.стр.177 п.27</t>
  </si>
  <si>
    <t>ООО "Центр Школьной Комплектации" ч.2.стр.177 п.28</t>
  </si>
  <si>
    <t>ООО "Центр Школьной Комплектации" ч.2.стр.177 п.29</t>
  </si>
  <si>
    <t>ООО "Центр Школьной Комплектации" ч.2.стр.177 п.30</t>
  </si>
  <si>
    <t>ООО "Центр Школьной Комплектации" ч.2.стр.177 п.31</t>
  </si>
  <si>
    <t>ООО "Центр Школьной Комплектации" ч.2.стр.177 п.32</t>
  </si>
  <si>
    <t>ООО "Центр Школьной Комплектации" ч.2.стр.177 п.33</t>
  </si>
  <si>
    <t>ООО "Центр Школьной Комплектации" ч.2.стр.177 п.35</t>
  </si>
  <si>
    <t>ООО "Центр Школьной Комплектации" ч.2.стр.177 п.36</t>
  </si>
  <si>
    <t>ООО "Центр Школьной Комплектации" ч.2.стр.177 п.34</t>
  </si>
  <si>
    <t>ООО "Центр Школьной Комплектации" ч.2.стр.177 п.37</t>
  </si>
  <si>
    <t>ООО "Центр Школьной Комплектации" ч.2.стр.177 п.38</t>
  </si>
  <si>
    <t>ООО "Центр Школьной Комплектации" ч.2.стр.177 п.39</t>
  </si>
  <si>
    <t>ООО "Центр Школьной Комплектации" ч.2.стр.177 п.40</t>
  </si>
  <si>
    <t>ООО "Центр Школьной Комплектации" ч.2.стр.177 п.41</t>
  </si>
  <si>
    <t>ООО "Центр Школьной Комплектации" ч.2.стр.177 п.42</t>
  </si>
  <si>
    <t>ООО "Центр Школьной Комплектации" ч.2.стр.177 п.43</t>
  </si>
  <si>
    <t>ООО "Центр Школьной Комплектации" ч.2.стр.177 п.44</t>
  </si>
  <si>
    <t>ООО "Центр Школьной Комплектации" ч.2.стр.177 п.45</t>
  </si>
  <si>
    <t>ООО "Центр Школьной Комплектации" ч.2.стр.177 п.46</t>
  </si>
  <si>
    <t>ООО "Центр Школьной Комплектации" ч.2.стр.177 п.50</t>
  </si>
  <si>
    <t>ООО "Центр Школьной Комплектации" ч.2.стр.177 п.49</t>
  </si>
  <si>
    <t>ООО "Центр Школьной Комплектации" ч.2.стр.177 п.47</t>
  </si>
  <si>
    <t>ООО "Центр Школьной Комплектации" ч.2.стр.177 п.48</t>
  </si>
  <si>
    <t>ООО "Центр Школьной Комплектации" ч.2.стр.177 п.51</t>
  </si>
  <si>
    <t>ТЕРм08-03-602-01</t>
  </si>
  <si>
    <t>Электрополотенце</t>
  </si>
  <si>
    <t>ООО "Центр Школьной Комплектации" ч.2.стр.177 п.52</t>
  </si>
  <si>
    <t>ООО "Центр Школьной Комплектации" ч.2.стр.177 п.53</t>
  </si>
  <si>
    <t>ООО "Центр Школьной Комплектации" ч.2.стр.177 п.54</t>
  </si>
  <si>
    <t>ООО "Центр Школьной Комплектации" ч.2.стр.178 п.55</t>
  </si>
  <si>
    <t>ООО "Центр Школьной Комплектации" ч.2.стр.178 п.57</t>
  </si>
  <si>
    <t>ООО "Центр Школьной Комплектации" ч.2.стр.178 п.58</t>
  </si>
  <si>
    <t>ООО "Центр Школьной Комплектации" ч.2.стр.178 п.59</t>
  </si>
  <si>
    <t>ООО "Центр Школьной Комплектации" ч.2.стр.178 п.60</t>
  </si>
  <si>
    <t>ООО "Центр Школьной Комплектации" ч.2.стр.178 п.61</t>
  </si>
  <si>
    <t>ООО "Центр Школьной Комплектации" ч.2.стр.178 п.62</t>
  </si>
  <si>
    <t>ООО "Центр Школьной Комплектации" ч.2.стр.178 п.64</t>
  </si>
  <si>
    <t>ООО "Центр Школьной Комплектации" ч.2.стр.178 п.66</t>
  </si>
  <si>
    <t>ООО "Центр Школьной Комплектации" ч.2.стр.178 п.67</t>
  </si>
  <si>
    <t>ООО "Центр Школьной Комплектации" ч.2.стр.178 п.68</t>
  </si>
  <si>
    <t>ООО "Центр Школьной Комплектации" ч.2.стр.178 п.72</t>
  </si>
  <si>
    <t>ООО "Центр Школьной Комплектации" ч.2.стр.178 п.73</t>
  </si>
  <si>
    <t>ООО "Центр Школьной Комплектации" ч.2.стр.178 п.75</t>
  </si>
  <si>
    <t>ООО "Центр Школьной Комплектации" ч.2.стр.178 п.76</t>
  </si>
  <si>
    <t>ТССЦ-18.2.02.01-0011</t>
  </si>
  <si>
    <t>Ванна моечная двухсекционная, размером 1000х500х860 мм</t>
  </si>
  <si>
    <t>ООО "Центр Школьной Комплектации" ч.2.стр.178 п.78</t>
  </si>
  <si>
    <t>ООО "Центр Школьной Комплектации" ч.2.стр.178 п.80</t>
  </si>
  <si>
    <t>ООО "Центр Школьной Комплектации" ч.2 стр.178 п.79</t>
  </si>
  <si>
    <t>ООО "Центр Школьной Комплектации" ч.2.стр.179 п.81</t>
  </si>
  <si>
    <t>ООО "Центр Школьной Комплектации" ч.2.стр.178 п.82</t>
  </si>
  <si>
    <t>ООО "Центр Школьной Комплектации" ч.2.стр.179 п.83</t>
  </si>
  <si>
    <t>ООО "Центр Школьной Комплектации" ч.2.стр.179 п.84</t>
  </si>
  <si>
    <t>ООО "Центр Школьной Комплектации" ч.2.стр.179 п.85</t>
  </si>
  <si>
    <t>ООО "Центр Школьной Комплектации" ч.2.стр.179 п.86</t>
  </si>
  <si>
    <t>ООО "Центр Школьной Комплектации" ч.2.стр.179 п.87</t>
  </si>
  <si>
    <t>ТЕРм28-12-011-07</t>
  </si>
  <si>
    <t>Линия поточная для выпуска очищенного сульфитированного картофеля, в том числе: картофелечистка</t>
  </si>
  <si>
    <t>ООО "Центр Школьной Комплектации" ч.2.стр.179 п.88</t>
  </si>
  <si>
    <t>ООО "Центр Школьной Комплектации" ч.2.стр.179 п.91</t>
  </si>
  <si>
    <t>ООО "Центр Школьной Комплектации" ч.2.стр.179 п.92</t>
  </si>
  <si>
    <t>ООО "Центр Школьной Комплектации" ч.2.стр.179 п.93</t>
  </si>
  <si>
    <t>ТЕР10-01-057-02</t>
  </si>
  <si>
    <t>Установка по месту шкафных и антресольных: полок</t>
  </si>
  <si>
    <t>ООО "Центр Школьной Комплектации" ч.2.стр.179 п.95</t>
  </si>
  <si>
    <t>ООО "Центр Школьной Комплектации" ч.2.стр.179 п.96</t>
  </si>
  <si>
    <t>ООО "Центр Школьной Комплектации" ч.2.стр.179 п.97</t>
  </si>
  <si>
    <t>ООО "Центр Школьной Комплектации" ч.2.стр.179 п.98</t>
  </si>
  <si>
    <t>ТЕР17-01-005-01</t>
  </si>
  <si>
    <t>Установка моек: на одно отделение</t>
  </si>
  <si>
    <t>ТССЦ-18.2.02.01-0012</t>
  </si>
  <si>
    <t>Ванна моечная односекционная ВСМ-1/430, размером 530х530х870 мм</t>
  </si>
  <si>
    <t>ООО "Центр Школьной Комплектации" ч.2.стр.179 п.100</t>
  </si>
  <si>
    <t>ООО "Центр Школьной Комплектации" ч.2.стр.179 п.101</t>
  </si>
  <si>
    <t>ООО "Центр Школьной Комплектации" ч.2.стр.179 п.102</t>
  </si>
  <si>
    <t>ООО "Центр Школьной Комплектации" ч.2.стр.179 п.103</t>
  </si>
  <si>
    <t>ТЕРм34-01-136-01</t>
  </si>
  <si>
    <t>Облучатель бактерицидный: настенный</t>
  </si>
  <si>
    <t>ООО "Центр Школьной Комплектации" ч.2.стр.179 п.104</t>
  </si>
  <si>
    <t>Т.2 стр.180 п.105</t>
  </si>
  <si>
    <t>ООО "Центр Школьной Комплектации" ч.2 стр.180 п.106</t>
  </si>
  <si>
    <t>ООО "Центр Школьной Комплектации" ч.2 стр.180 п.107</t>
  </si>
  <si>
    <t>ТЕРм37-01-002-03</t>
  </si>
  <si>
    <t>Монтаж оборудования в помещении, масса 0,1 т -(Сковорода электрическая, вес 116 кг)</t>
  </si>
  <si>
    <t>ООО "Центр Школьной Комплектации" ч.2 стр.180 п.110</t>
  </si>
  <si>
    <t>Монтаж оборудования в помещении, масса 0,1 т -(Плита эл. 4-х конфор. с жарочным шкафом, вес 155 кг</t>
  </si>
  <si>
    <t>ООО "Центр Школьной Комплектации" ч.2 стр.180 п.111</t>
  </si>
  <si>
    <t>ТЕРм28-07-032-05</t>
  </si>
  <si>
    <t>Котел для варки и выпаривания овощефруктов -(прим. Котел пищеварочный электрический)</t>
  </si>
  <si>
    <t>ООО "Центр Школьной Комплектации" ч.2 стр.180 п.112</t>
  </si>
  <si>
    <t>ООО "Центр Школьной Комплектации" ч.2 стр.180 п.113</t>
  </si>
  <si>
    <t>ТЕРм28-07-031-04</t>
  </si>
  <si>
    <t>Аппарат выпарной, объем: 500 л -(прим. Пароконвектомат ПКА 10-1/1ПМ)</t>
  </si>
  <si>
    <t>ООО "Центр Школьной Комплектации" ч.2 стр.180 п.114</t>
  </si>
  <si>
    <t>ООО "Центр Школьной Комплектации" ч.2.стр.180п.115</t>
  </si>
  <si>
    <t>ООО "Центр Школьной Комплектации" ч.2 стр.180 п.116</t>
  </si>
  <si>
    <t>ООО "Центр Школьной Комплектации" ч.2 стр.180 п.117</t>
  </si>
  <si>
    <t>ООО "Центр Школьной Комплектации" ч.2 стр.180 п.118</t>
  </si>
  <si>
    <t>ТЕРм28-01-040-02</t>
  </si>
  <si>
    <t>Машина тестомесильная, производительность: 0,9 т/ч</t>
  </si>
  <si>
    <t>ООО "Центр Школьной Комплектации" ч.2 стр.180 п.127</t>
  </si>
  <si>
    <t>ООО "Центр Школьной Комплектации" ч.2 стр.180 п.128</t>
  </si>
  <si>
    <t>Профкомплект ч.65 стр.232</t>
  </si>
  <si>
    <t>ООО "Центр Школьной Комплектации" ч.2 стр.180 п.129</t>
  </si>
  <si>
    <t>ТрастХолод Ч.5 стр.231</t>
  </si>
  <si>
    <t>Entero Ч.5 стр.222</t>
  </si>
  <si>
    <t>Entero Ч.5 стр.224</t>
  </si>
  <si>
    <t>Complex Trade Ч.5 стр.233</t>
  </si>
  <si>
    <t>ООО "Центр Школьной Комплектации" ч.2 стр.180 п.132</t>
  </si>
  <si>
    <t>ООО "Центр Школьной Комплектации" ч.2 стр.180 п.133</t>
  </si>
  <si>
    <t>ООО "Центр Школьной Комплектации" ч.2 стр.180 п.134</t>
  </si>
  <si>
    <t>ООО "Центр Школьной Комплектации" ч.2 стр.180 п.136</t>
  </si>
  <si>
    <t>ООО "Центр Школьной Комплектации" ч.2 стр.180 п.137</t>
  </si>
  <si>
    <t>ООО "Центр Школьной Комплектации" Т.2 стр.180 п.138</t>
  </si>
  <si>
    <t>ООО "Центр Школьной Комплектации" ч.2 стр.180 п.135</t>
  </si>
  <si>
    <t>ООО "Центр Школьной Комплектации" ч.2 стр.180 п.139</t>
  </si>
  <si>
    <t>ООО "Центр Школьной Комплектации" ч.2 стр.180 п.140</t>
  </si>
  <si>
    <t>ООО "Центр Школьной Комплектации" ч.2 стр.180 п.141</t>
  </si>
  <si>
    <t>ООО "Центр Школьной Комплектации" ч.2 стр.180 п.142</t>
  </si>
  <si>
    <t>ООО "Центр Школьной Комплектации" ч.2 стр.181 п.143</t>
  </si>
  <si>
    <t>ООО "Центр Школьной Комплектации" ч.2 стр.181 п.144</t>
  </si>
  <si>
    <t>ООО "Центр Школьной Комплектации" ч.2 стр.181 п.145</t>
  </si>
  <si>
    <t>ООО "Центр Школьной Комплектации" ч.2 стр.181 п.146</t>
  </si>
  <si>
    <t>ООО "Центр Школьной Комплектации" ч.2 стр.181 п.147</t>
  </si>
  <si>
    <t>ООО "Центр Школьной Комплектации" ч.2 стр.181 п.148</t>
  </si>
  <si>
    <t>ООО "Центр Школьной Комплектации" ч.2 стр.181 п.150</t>
  </si>
  <si>
    <t>ООО "Центр Школьной Комплектации" ч.2 стр.181 п.149</t>
  </si>
  <si>
    <t>ООО "Центр Школьной Комплектации" ч.2 стр.181 п.152</t>
  </si>
  <si>
    <t>ООО "Центр Школьной Комплектации" ч.2 стр.181 п.153</t>
  </si>
  <si>
    <t>ООО "Центр Школьной Комплектации" ч.2 стр.181 п.154</t>
  </si>
  <si>
    <t>ООО "Центр Школьной Комплектации" ч.2 стр.181 п.155</t>
  </si>
  <si>
    <t>Аппарат настольный, масса: до 0,015 т (принтер, копир, сканер)</t>
  </si>
  <si>
    <t>ООО "Центр Школьной Комплектации" ч.2 стр.181 п.157</t>
  </si>
  <si>
    <t>ООО "Центр Школьной Комплектации" ч.2 стр.181 п.158</t>
  </si>
  <si>
    <t>ООО "Центр Школьной Комплектации" ч.2 стр.181 п.159</t>
  </si>
  <si>
    <t>ООО "Центр Школьной Комплектации" ч.2 стр.181 п.160</t>
  </si>
  <si>
    <t>ООО "Центр Школьной Комплектации" ч.2 стр.181 п.161</t>
  </si>
  <si>
    <t>ООО "Центр Школьной Комплектации" ч.2 стр.181 п.162</t>
  </si>
  <si>
    <t>ООО "Центр Школьной Комплектации" ч.2 стр.181 п.163</t>
  </si>
  <si>
    <t>ООО "Центр Школьной Комплектации" ч.2 стр.181 п.164</t>
  </si>
  <si>
    <t>ООО "Центр Школьной Комплектации" ч.2 стр.181 п.165</t>
  </si>
  <si>
    <t>ООО "Центр Школьной Комплектации" ч.2 стр.181 п.166</t>
  </si>
  <si>
    <t>ООО "Центр Школьной Комплектации" ч.2 стр.181 п.167</t>
  </si>
  <si>
    <t>ООО "Центр Школьной Комплектации" ч.2 стр.181 п.168</t>
  </si>
  <si>
    <t>ООО "Центр Школьной Комплектации" ч.2 стр.181 п.169</t>
  </si>
  <si>
    <t>ООО "Центр Школьной Комплектации" ч.2 стр.181 п.170</t>
  </si>
  <si>
    <t>ООО "Центр Школьной Комплектации" ч.2 стр.181 п.171</t>
  </si>
  <si>
    <t>ООО "Центр Школьной Комплектации" ч.2 стр.181 п.172</t>
  </si>
  <si>
    <t>ООО "Центр Школьной Комплектации" ч.2 стр.181 п.173</t>
  </si>
  <si>
    <t>ООО "Центр Школьной Комплектации" ч.2 стр.181 п.174</t>
  </si>
  <si>
    <t>ООО "Центр Школьной Комплектации" ч.2 стр.181 п.176</t>
  </si>
  <si>
    <t>ООО "Центр Школьной Комплектации" ч.2 стр.181 п.175</t>
  </si>
  <si>
    <t>ООО "Центр Школьной Комплектации" ч.2 стр.181 п.177</t>
  </si>
  <si>
    <t>ООО "Центр Школьной Комплектации" ч.2 стр.181 п.178</t>
  </si>
  <si>
    <t>ООО "Центр Школьной Комплектации" ч.2 стр.181 п.179</t>
  </si>
  <si>
    <t>ООО "Центр Школьной Комплектации" ч.2 стр.181 п.180</t>
  </si>
  <si>
    <t>ООО "Центр Школьной Комплектации" ч.2 стр.181 п.181</t>
  </si>
  <si>
    <t>ООО "Центр Школьной Комплектации" ч.2 стр.181 п.182</t>
  </si>
  <si>
    <t>ООО "Центр Школьной Комплектации" ч.2 стр.182 п.183</t>
  </si>
  <si>
    <t>ООО "Центр Школьной Комплектации" ч.2 стр.182 п.184</t>
  </si>
  <si>
    <t>ООО "Центр Школьной Комплектации" ч.2 стр.182 п.185</t>
  </si>
  <si>
    <t>ТЕР17-01-005-04</t>
  </si>
  <si>
    <t>Установка раковин</t>
  </si>
  <si>
    <t>ООО "Центр Школьной Комплектации" ч.2 стр.182 п.186</t>
  </si>
  <si>
    <t>ТЕРм08-03-605-01</t>
  </si>
  <si>
    <t>Вентилятор</t>
  </si>
  <si>
    <t>ООО "Центр Школьной Комплектации" ч.2 стр.182 п.190</t>
  </si>
  <si>
    <t>ООО "Центр Школьной Комплектации" ч.2 стр.182 п.191</t>
  </si>
  <si>
    <t>ООО "Центр Школьной Комплектации" ч.2 стр.182 п.192</t>
  </si>
  <si>
    <t>ООО "Центр Школьной Комплектации" ч.2 стр.182 п.193</t>
  </si>
  <si>
    <t>ООО "Центр Школьной Комплектации" ч.2 стр.182 п.194</t>
  </si>
  <si>
    <t>ООО "Центр Школьной Комплектации" ч.2 стр.182 п.195</t>
  </si>
  <si>
    <t>ТЕРм34-01-261-02</t>
  </si>
  <si>
    <t>Комплекс приборов для: исследования вентиляции и кровотока легких</t>
  </si>
  <si>
    <t>ООО "Центр Школьной Комплектации" ч.2 стр.182 п.196</t>
  </si>
  <si>
    <t>ООО "Центр Школьной Комплектации" ч.2 стр.182 п.197</t>
  </si>
  <si>
    <t>ООО "Центр Школьной Комплектации" ч.2 стр.182 п.198</t>
  </si>
  <si>
    <t>ООО "Центр Школьной Комплектации" ч.2 стр.182 п.199</t>
  </si>
  <si>
    <t>ООО "Центр Школьной Комплектации" ч.2 стр.182 п.200</t>
  </si>
  <si>
    <t>ООО "Центр Школьной Комплектации" ч.2 стр.182 п.201</t>
  </si>
  <si>
    <t>ООО "Центр Школьной Комплектации" ч.2 стр.182 п.202</t>
  </si>
  <si>
    <t>ООО "Центр Школьной Комплектации" ч.2 стр.182 п.203</t>
  </si>
  <si>
    <t>ООО "Центр Школьной Комплектации" ч.2 стр.182 п.204</t>
  </si>
  <si>
    <t>ООО "Центр Школьной Комплектации" ч.2 стр.182 п.205</t>
  </si>
  <si>
    <t>ООО "Центр Школьной Комплектации" ч.2 стр.182 п.206</t>
  </si>
  <si>
    <t>ООО "Центр Школьной Комплектации" ч.2 стр.182 п.207</t>
  </si>
  <si>
    <t>ООО "Центр Школьной Комплектации" ч.2 стр.182 п.208</t>
  </si>
  <si>
    <t>ООО "Центр Школьной Комплектации" ч.2 стр.182 п.209</t>
  </si>
  <si>
    <t>ООО "Центр Школьной Комплектации" ч.2 стр.182 п.213</t>
  </si>
  <si>
    <t>ООО "Центр Школьной Комплектации" ч.2 стр.182 п.217</t>
  </si>
  <si>
    <t>ООО "Центр Школьной Комплектации" ч.2 стр.182 п.219</t>
  </si>
  <si>
    <t>ООО "Центр Школьной Комплектации" ч.2 стр.182 п.210</t>
  </si>
  <si>
    <t>ООО "Центр Школьной Комплектации" ч.2 стр.182 п.211</t>
  </si>
  <si>
    <t>ООО "Центр Школьной Комплектации" ч.2 стр.182 п.214</t>
  </si>
  <si>
    <t>ООО "Центр Школьной Комплектации" ч.2 стр.182 п.215</t>
  </si>
  <si>
    <t>ООО "Центр Школьной Комплектации" ч.2 стр.182 п.216</t>
  </si>
  <si>
    <t>ООО "Центр Школьной Комплектации" ч.2 стр.182 п.212</t>
  </si>
  <si>
    <t>ООО "Центр Школьной Комплектации" ч.2 стр.182 п.218</t>
  </si>
  <si>
    <t>ООО "Центр Школьной Комплектации" ч.2 стр.182 п.223</t>
  </si>
  <si>
    <t>ООО "Центр Школьной Комплектации" ч.2 стр.182 п.224</t>
  </si>
  <si>
    <t>ООО "Центр Школьной Комплектации" ч.2 стр.182 п.225</t>
  </si>
  <si>
    <t>ч.2 стр.182 п.226</t>
  </si>
  <si>
    <t>ООО "Центр Школьной Комплектации" ч.2 стр.182 п.226</t>
  </si>
  <si>
    <t>ООО "Центр Школьной Комплектации" Ч.2 стр.183 п.277</t>
  </si>
  <si>
    <t>ТД "Тинко" Ч.5 стр.229</t>
  </si>
  <si>
    <t>ЛС 02-01-13 Поз.: 1-1.3</t>
  </si>
  <si>
    <t>ТЕРм03-05-001-03</t>
  </si>
  <si>
    <t>Лифт пассажирский со скоростью движения кабины до 1 м/с: грузоподъемностью 1000 кг, количество остановок 12, высота шахты 44 м</t>
  </si>
  <si>
    <t>ТЕРм03-05-001-05</t>
  </si>
  <si>
    <t>За каждую остановку, более или менее указанных в характеристике лифта, добавлять или уменьшать для лифтов грузоподъемностью: до 1000 кг</t>
  </si>
  <si>
    <t>ТЕРм03-05-001-07</t>
  </si>
  <si>
    <t>За каждый метр высоты шахты, более или менее указанных в характеристике лифта, добавлять или уменьшать для лифтов грузоподъемностью: до 1000 кг исключать до 7,75 м</t>
  </si>
  <si>
    <t>ООО "СпецЛифтМонтаж" ч.1 стр.3-4</t>
  </si>
  <si>
    <t>Лифт - пассажирский 6(4)-П 1031 БМ- 1000АПП(Ei 60) - 7.0, грузоподъемностью 1000кг; скорость-1,0 м/с, на 2 остановки.</t>
  </si>
  <si>
    <t>1 лифт</t>
  </si>
  <si>
    <t>ЛС 02-01-14 Поз.: 1-21.2</t>
  </si>
  <si>
    <t>Наружная облицовка поверхности стен сайдингом металлическим с полимерным покрытием с устройством металлического каркаса и теплоизоляционного слоя</t>
  </si>
  <si>
    <t>ООО "ФАС ГРУ"  Ч.3 стр.155 п.1</t>
  </si>
  <si>
    <t>ООО "ФАС ГРУ"  Ч.3 стр.155 п.3</t>
  </si>
  <si>
    <t>ТССЦ-12.2.05.10-0001</t>
  </si>
  <si>
    <t>Плиты минераловатные "Венти Баттс" ROCKWOOL</t>
  </si>
  <si>
    <t>ТЕР26-01-039-01</t>
  </si>
  <si>
    <t>Изоляция покрытий и перекрытий изделиями из волокнистых и зернистых материалов насухо</t>
  </si>
  <si>
    <t>ТЕР15-01-070-01</t>
  </si>
  <si>
    <t>Облицовка: оконных проемов в наружных стенах откосной планкой из оцинкованной стали с полимерным покрытием с устройством водоотлива оконного из оцинкованной стали с полимерным покрытием</t>
  </si>
  <si>
    <t>ТССЦ-08.1.02.03-0021</t>
  </si>
  <si>
    <t>Водоотлив оконный шириной планки 250 мм из оцинкованной стали с полимерным покрытием</t>
  </si>
  <si>
    <t>п.м</t>
  </si>
  <si>
    <t>ТССЦ-08.1.02.03-0081</t>
  </si>
  <si>
    <t>Откосная планка шириной 250 мм из оцинкованной стали с полимерным покрытием</t>
  </si>
  <si>
    <t>ТССЦ-08.1.02.03-0001</t>
  </si>
  <si>
    <t>Аквилон из оцинкованной стали с полимерным покрытием</t>
  </si>
  <si>
    <t>ТЕР15-01-070-02</t>
  </si>
  <si>
    <t>Облицовка: дверных проемов в наружных стенах откосной планкой из оцинкованной стали с полимерным покрытием с установкой наличников из оцинкованной стали с полимерным покрытием</t>
  </si>
  <si>
    <t>ТССЦ-08.1.02.03-0051</t>
  </si>
  <si>
    <t>Наличники из оцинкованной стали с полимерным покрытием</t>
  </si>
  <si>
    <t>ООО "ФАС ГРУ" Ч.3 стр.155 п.9</t>
  </si>
  <si>
    <t>ООО "ФАС ГРУ" Ч.3 стр.155 п.8</t>
  </si>
  <si>
    <t>ООО "ФАС ГРУ" Ч.3 стр.155 п.10</t>
  </si>
  <si>
    <t>ООО "ФАС ГРУ" Ч.3 стр.155 п.11</t>
  </si>
  <si>
    <t>ТССЦ-07.2.06.03-0116</t>
  </si>
  <si>
    <t>Профиль направляющий: ПН-4 75/40/0,6</t>
  </si>
  <si>
    <t>ТССЦ-08.1.02.03-0061</t>
  </si>
  <si>
    <t>Начальная планка из оцинкованной стали с полимерным покрытием</t>
  </si>
  <si>
    <t>ТССЦ-08.1.02.03-0071</t>
  </si>
  <si>
    <t>Нащельник стальной оцинкованный с покрытием «Полиэстер»</t>
  </si>
  <si>
    <t>ТССЦ-08.1.02.03-0091</t>
  </si>
  <si>
    <t>Угол наружный, внутренний из оцинкованной стали с полимерным покрытием</t>
  </si>
  <si>
    <t>ООО "ФАС ГРУ" Ч.3 стр.155 п.1</t>
  </si>
  <si>
    <t>ТЕР15-01-063-02</t>
  </si>
  <si>
    <t>Наружная облицовка поверхности стен в вертикальном исполнении по металлическому каркасу (с его устройством): металлосайдингом без пароизоляционного слоя</t>
  </si>
  <si>
    <t>Панель стальная оцинкованная структурированная КраспанМеталлКолор 175х2000-4000 (с шагом 200мм) порошковое покрытие Ц=1842</t>
  </si>
  <si>
    <t>ТЕР15-01-016-02</t>
  </si>
  <si>
    <t>Наружная облицовка по бетонной поверхности керамическими отдельными плитками: на цементном растворе стен -(Облицовка боковых поверхностей крыльца )</t>
  </si>
  <si>
    <t>ТССЦ-03.2.01.04-0002</t>
  </si>
  <si>
    <t>Портландцемент пуццолановый общестроительного и специального назначения марки: 400</t>
  </si>
  <si>
    <t>ТССЦ-04.3.01.09-0023</t>
  </si>
  <si>
    <t>Раствор готовый отделочный тяжелый,: цементный 1:3</t>
  </si>
  <si>
    <t>ТССЦ-14.1.06.02-0044</t>
  </si>
  <si>
    <t>Клей плиточный «Юнис Гранит» (расход: на 1м2 -3,7кг)</t>
  </si>
  <si>
    <t>ТССЦ-04.3.02.09-0102</t>
  </si>
  <si>
    <t>Затирка «Старатели» (разной цветности) (расход: на 1м2- 1кг смеси при толщине шва 4мм)</t>
  </si>
  <si>
    <t>ТССЦ-06.2.05.03-0001</t>
  </si>
  <si>
    <t>Гранит керамический многоцветный неполированный, размером 300х300х8 мм</t>
  </si>
  <si>
    <t>ТЕР15-01-045-01</t>
  </si>
  <si>
    <t>Облицовка ступеней керамогранитными плитками толщиной до 15 мм</t>
  </si>
  <si>
    <t>ТССЦ-11.2.04.05-0001</t>
  </si>
  <si>
    <t>Рейки деревянные 8х18 мм</t>
  </si>
  <si>
    <t>ТЕР11-01-047-01</t>
  </si>
  <si>
    <t>Устройство покрытий из плит керамогранитных размером: 40х40 см (плитка керамогранитная антискользящая)</t>
  </si>
  <si>
    <t>Наружная облицовка по бетонной поверхности керамическими отдельными плитками: на цементном растворе стен -(облицовка боковых поверхностей )</t>
  </si>
  <si>
    <t>ТЕР15-07-003-02</t>
  </si>
  <si>
    <t>Грунтование водно-дисперсионной грунтовкой "Нортекс-Грунт" поверхностей: пористых (камень, кирпич, бетон и т.д.)</t>
  </si>
  <si>
    <t>ТЕР15-01-043-01</t>
  </si>
  <si>
    <t>Облицовка лестничных площадок и маршей керамогранитными плитами.</t>
  </si>
  <si>
    <t>Затирка «Старатели» (разной цветности) (расход: на 1м2-1кг смеси при толщине шва 4мм)</t>
  </si>
  <si>
    <t>Клей плиточный «Юнис Гранит» (расход: на 1м2-3,7кг)</t>
  </si>
  <si>
    <t>ТССЦ-14.4.01.02-0201</t>
  </si>
  <si>
    <t>Грунтовка: акриловая упрочняющая стабилизирующая глубокого проникновения "БИРСС Грунт М"</t>
  </si>
  <si>
    <t>ТССЦ-14.5.11.01-0003</t>
  </si>
  <si>
    <t>Шпатлевка масляно-клеевая</t>
  </si>
  <si>
    <t>ТССЦ-14.5.11.02-0105</t>
  </si>
  <si>
    <t>Шпатлевка фасадная ВГТ</t>
  </si>
  <si>
    <t>ТЕР15-04-019-07</t>
  </si>
  <si>
    <t>Окраска фасадов акриловыми составами: с лесов вручную по подготовленной поверхности</t>
  </si>
  <si>
    <t>ТССЦ-14.3.02.01-0102</t>
  </si>
  <si>
    <t>Краска акриловая: водно-дисперсионная "БИРСС Фасад- Колор", тон светлый</t>
  </si>
  <si>
    <t>ТЕР15-02-019-04</t>
  </si>
  <si>
    <t>Сплошное выравнивание внутренних поверхностей (однослойное оштукатуривание) из сухих растворных смесей толщиной до 10 мм: потолков</t>
  </si>
  <si>
    <t>ЛС 02-01-15 Поз.: 1-42.2</t>
  </si>
  <si>
    <t>ТЕР18-06-001-04</t>
  </si>
  <si>
    <t>Установка гребенок пароводораспределительных из стальных труб наружным диаметром корпуса: 273 мм</t>
  </si>
  <si>
    <t>ООО "ТеплотехКомплект" Ч.1 Стр.109</t>
  </si>
  <si>
    <t>WILO Ч.1 Стр.160</t>
  </si>
  <si>
    <t>WILO Ч.1 Стр.161</t>
  </si>
  <si>
    <t>Lunda Ч.5 стр.182</t>
  </si>
  <si>
    <t>СантехТула Ч.1 Стр.138</t>
  </si>
  <si>
    <t>ТССЦ-18.1.06.05-0043</t>
  </si>
  <si>
    <t>Клапан регулирующий седельный проходной "Danfoss", марка VS 2 с наружной резьбой, диаметр: 25 мм</t>
  </si>
  <si>
    <t>ТЕРм12-12-004-01</t>
  </si>
  <si>
    <t>Арматура фланцевая с электрическим приводом на номинальное давление до 10 МПа, номинальный диаметр 32 мм</t>
  </si>
  <si>
    <t>СпецАрматура Ч.1 Стр.140</t>
  </si>
  <si>
    <t>ТЕР18-04-001-03</t>
  </si>
  <si>
    <t>Установка баков расширительных круглых и прямоугольных вместимостью: 0,2 м3</t>
  </si>
  <si>
    <t>Тепловод Ч.1 Стр.121</t>
  </si>
  <si>
    <t>ТЕР18-06-007-03</t>
  </si>
  <si>
    <t>Установка фильтров диаметром: 40 мм</t>
  </si>
  <si>
    <t>ПО Рустехнобизнес Ч.1 Стр.143</t>
  </si>
  <si>
    <t>ТЕР18-02-004-03</t>
  </si>
  <si>
    <t>Монтаж водонагревателей электрических накопительных (емкостных) объемом: свыше 100 л</t>
  </si>
  <si>
    <t>КлимЭко Ч.1 Стр.169</t>
  </si>
  <si>
    <t>ТЕР18-04-001-02</t>
  </si>
  <si>
    <t>Установка баков расширительных круглых и прямоугольных вместимостью: 0,15 м3</t>
  </si>
  <si>
    <t>ТЕРм37-01-002-01</t>
  </si>
  <si>
    <t>Монтаж сосудов и аппаратов без механизмов в помещении, масса сосудов и аппаратов 0,03 т</t>
  </si>
  <si>
    <t>ООО "Акватех" Ч.1 Стр.172</t>
  </si>
  <si>
    <t>ТЕРм37-01-001-02</t>
  </si>
  <si>
    <t>Монтаж сосудов и аппаратов без механизмов на открытой площадке, масса сосудов и аппаратов 0,05 т</t>
  </si>
  <si>
    <t>ООО "Акватех" Ч.1 Стр.173</t>
  </si>
  <si>
    <t>ТЕР16-06-005-01</t>
  </si>
  <si>
    <t>Установка счетчиков (водомеров) диаметром: до 40 мм</t>
  </si>
  <si>
    <t>ТССЦ-65.1.04.03-0033</t>
  </si>
  <si>
    <t>Счетчик холодной воды, марка: ВСХ-25</t>
  </si>
  <si>
    <t>ТЕР18-07-001-04</t>
  </si>
  <si>
    <t>Установка термометров в оправе прямых и угловых</t>
  </si>
  <si>
    <t>ТССЦ-63.4.01.01-0011</t>
  </si>
  <si>
    <t>Термоманометр для неагрессивных сред (класс точности 2,5) типа ТМТБ от 0 до +150 град С, давлением 2,5 МПа (25 кгс/см2), с запорным клапаном</t>
  </si>
  <si>
    <t>Термаркет  ч.1 Стр.126</t>
  </si>
  <si>
    <t>Вираж Ч.1 Стр.152</t>
  </si>
  <si>
    <t>Lunda Ч.1 Стр.178</t>
  </si>
  <si>
    <t>ТЕРм12-10-001-01</t>
  </si>
  <si>
    <t>Бобышки, штуцеры на номинальное давление до 10 МПа</t>
  </si>
  <si>
    <t>ТССЦ-63.4.03.01-0007</t>
  </si>
  <si>
    <t>Датчик температуры погружной ESMU с длиной трубки 100 мм</t>
  </si>
  <si>
    <t>ТССЦ-63.4.03.02-0005</t>
  </si>
  <si>
    <t>Регулятор температуры электронный с таймером ECL Comfort 110</t>
  </si>
  <si>
    <t>ТЕР16-05-001-03</t>
  </si>
  <si>
    <t>Установка вентилей, задвижек, затворов, клапанов обратных, кранов проходных на трубопроводах из стальных труб диаметром: до 100 мм</t>
  </si>
  <si>
    <t>ТССЦ-18.1.03.02-0023</t>
  </si>
  <si>
    <t>Затворы дисковые поворотные (корпус-чугун, затвор-хромированный чугун) давлением 1,6 МПа (16 кгс/см2), диаметром: 80 мм</t>
  </si>
  <si>
    <t>ТССЦ-18.1.03.02-0021</t>
  </si>
  <si>
    <t>Затворы дисковые поворотные (корпус-чугун, затвор-хромированный чугун) давлением 1,6 МПа (16 кгс/см2), диаметром: 50 мм</t>
  </si>
  <si>
    <t>ТССЦ-18.1.09.06-0080</t>
  </si>
  <si>
    <t>Кран шаровый муфтовый Valtec для воды диаметром: 40 мм, тип в/н</t>
  </si>
  <si>
    <t>ТССЦ-18.1.09.06-0076</t>
  </si>
  <si>
    <t>Кран шаровый муфтовый Valtec для воды диаметром: 32 мм со сгоном</t>
  </si>
  <si>
    <t>ТССЦ-18.1.09.06-0078</t>
  </si>
  <si>
    <t>Кран шаровый муфтовый Valtec для воды диаметром: 32 мм, тип в/н</t>
  </si>
  <si>
    <t>ТССЦ-18.1.09.06-0074</t>
  </si>
  <si>
    <t>Кран шаровый муфтовый Valtec для воды диаметром: 25 мм, тип в/н</t>
  </si>
  <si>
    <t>ТССЦ-18.1.09.06-0071</t>
  </si>
  <si>
    <t>Кран шаровый муфтовый Valtec для воды диаметром: 25 мм с угловым сгоном</t>
  </si>
  <si>
    <t>ТССЦ-18.1.09.06-0066</t>
  </si>
  <si>
    <t>Кран шаровый муфтовый Valtec для воды диаметром: 20 мм с угловым сгоном</t>
  </si>
  <si>
    <t>ТССЦ-18.1.04.06-0002</t>
  </si>
  <si>
    <t>Клапаны обратные пружинные "Danfoss" тип 402, чугунные, фланцевые, давлением 1,6 МПа (16 кгс/см2), диаметром: 50 мм</t>
  </si>
  <si>
    <t>ТССЦ-18.1.04.06-0021</t>
  </si>
  <si>
    <t>Клапаны обратные пружинные ИГЛ (Eagle), давлением 1,6 МПа (16 кгс/см2), размером: 1 1/2"</t>
  </si>
  <si>
    <t>ТССЦ-18.1.04.06-0022</t>
  </si>
  <si>
    <t>Клапаны обратные пружинные ИГЛ (Eagle), давлением 1,6 МПа (16 кгс/см2), размером: 1 1/4"</t>
  </si>
  <si>
    <t>ТССЦ-18.1.04.06-0023</t>
  </si>
  <si>
    <t>Клапаны обратные пружинные ИГЛ (Eagle), давлением 1,6 МПа (16 кгс/см2), размером: 1"</t>
  </si>
  <si>
    <t>ТЕР18-06-007-06</t>
  </si>
  <si>
    <t>Установка фильтров диаметром: 80 мм</t>
  </si>
  <si>
    <t>Валвегатор Ч.1 Стр.221</t>
  </si>
  <si>
    <t>ТЕР18-06-007-04</t>
  </si>
  <si>
    <t>Установка фильтров диаметром: 50 мм</t>
  </si>
  <si>
    <t>Проконсим Ч.1 Стр.225</t>
  </si>
  <si>
    <t>ТССЦ-18.2.08.07-0005</t>
  </si>
  <si>
    <t>Фильтры фланцевые BROEN V821F из углеродистой стали сетчатые, со сливной пробкой, с фланцевым присоединением, давлением 4,0 МПа (40 кгс/см2), диаметром: 40 мм</t>
  </si>
  <si>
    <t>ТЕР18-06-007-02</t>
  </si>
  <si>
    <t>Установка фильтров диаметром: 32 мм</t>
  </si>
  <si>
    <t>ТССЦ-18.2.08.07-0004</t>
  </si>
  <si>
    <t>Фильтры фланцевые BROEN V821F из углеродистой стали сетчатые, со сливной пробкой, с фланцевым присоединением, давлением 4,0 МПа (40 кгс/см2), диаметром: 32 мм</t>
  </si>
  <si>
    <t>ТССЦ-18.2.08.07-0003</t>
  </si>
  <si>
    <t>Фильтры фланцевые BROEN V821F из углеродистой стали сетчатые, со сливной пробкой, с фланцевым присоединением, давлением 4,0 МПа (40 кгс/см2), диаметром: 25 мм</t>
  </si>
  <si>
    <t>ТЕР24-01-033-03</t>
  </si>
  <si>
    <t>Установка вентилей и клапанов обратных муфтовых диаметром 50 мм</t>
  </si>
  <si>
    <t>ТССЦ-18.5.03.02-0007</t>
  </si>
  <si>
    <t>Вставки гибкие фланцевые ZKB на давление: 1,6 МПа (16 кгс/см2), диаметром 40 мм</t>
  </si>
  <si>
    <t>ТССЦ-18.5.03.02-0006</t>
  </si>
  <si>
    <t>Вставки гибкие фланцевые ZKB на давление: 1,6 МПа (16 кгс/см2), диаметром 32 мм</t>
  </si>
  <si>
    <t>СпецАрматура Ч.1 Стр.214</t>
  </si>
  <si>
    <t>Гибкая вставка, муфтавая Ø25мм ZKT-25 "Danfoss" Цена=(1200,00)</t>
  </si>
  <si>
    <t>ООО "Акватех" Ч.1 Стр.194 п.4</t>
  </si>
  <si>
    <t>ООО "Акватех" Ч.1 Стр.195 п.5</t>
  </si>
  <si>
    <t>ООО "Акватех" Ч.1 Стр.186 п.6</t>
  </si>
  <si>
    <t>ООО "Акватех" Ч.1 Стр.207</t>
  </si>
  <si>
    <t>ТЕР24-01-033-02</t>
  </si>
  <si>
    <t>Установка вентилей и клапанов обратных муфтовых диаметром 32 мм</t>
  </si>
  <si>
    <t>ООО "Акватех" Ч.1 Стр.188 п.8</t>
  </si>
  <si>
    <t>ООО "Акватех" Ч.1 Стр.189 п.9</t>
  </si>
  <si>
    <t>ТЕРр65-17-1</t>
  </si>
  <si>
    <t>Установка заглушек диаметром трубопроводов: до 100 мм</t>
  </si>
  <si>
    <t>ТССЦ-23.8.03.01-0022</t>
  </si>
  <si>
    <t>Заглушки стальные для труб диаметром: 22 мм</t>
  </si>
  <si>
    <t>ТЕРм12-01-105-02</t>
  </si>
  <si>
    <t>Трубопровод из медных труб на номинальное давление до 2,5 МПа, диаметр труб наружный 28 мм</t>
  </si>
  <si>
    <t>ТССЦ-23.2.02.02-0017</t>
  </si>
  <si>
    <t>Трубы медные круглые тянутые и холоднокатаные (марки меди М2, М3), наружным диаметром: 28,58 мм, толщиной стенки 1,0 мм</t>
  </si>
  <si>
    <t>ТССЦ-23.2.02.02-0016</t>
  </si>
  <si>
    <t>Трубы медные круглые тянутые и холоднокатаные (марки меди М2, М3), наружным диаметром: 22,22 мм, толщиной стенки 1,0 мм</t>
  </si>
  <si>
    <t>ТЕРм12-08-007-01</t>
  </si>
  <si>
    <t>Приготовление раствора пенообразования и заполнения им пневмобака</t>
  </si>
  <si>
    <t>ГелиоСервис Ч.1 Стр.193</t>
  </si>
  <si>
    <t>ТЕР16-02-006-05</t>
  </si>
  <si>
    <t>Прокладка трубопроводов обвязки котлов, водонагревателей и насосов из стальных бесшовных и электросварных труб диаметром: до 150 мм</t>
  </si>
  <si>
    <t>ТССЦ-23.5.02.02-0007</t>
  </si>
  <si>
    <t>Трубы стальные электросварные прямошовные (ГОСТ 10704-91), наружный диаметр: 133 мм, толщина стенки 4,0 мм</t>
  </si>
  <si>
    <t>ТЕР16-02-006-04</t>
  </si>
  <si>
    <t>Прокладка трубопроводов обвязки котлов, водонагревателей и насосов из стальных бесшовных и электросварных труб диаметром: до 100 мм</t>
  </si>
  <si>
    <t>ТССЦ-23.5.02.02-0006</t>
  </si>
  <si>
    <t>Трубы стальные электросварные прямошовные (ГОСТ 10704-91), наружный диаметр: 108 мм, толщина стенки 4,0 мм</t>
  </si>
  <si>
    <t>ТЕР16-02-006-03</t>
  </si>
  <si>
    <t>Прокладка трубопроводов обвязки котлов, водонагревателей и насосов из стальных бесшовных и электросварных труб диаметром: до 80 мм</t>
  </si>
  <si>
    <t>ТССЦ-23.5.02.02-0005</t>
  </si>
  <si>
    <t>Трубы стальные электросварные прямошовные (ГОСТ 10704-91), наружный диаметр: 89 мм, толщина стенки 3,5 мм</t>
  </si>
  <si>
    <t>ТЕР16-02-006-02</t>
  </si>
  <si>
    <t>Прокладка трубопроводов обвязки котлов, водонагревателей и насосов из стальных бесшовных и электросварных труб диаметром: до 50 мм</t>
  </si>
  <si>
    <t>Трубы стальные электросварные прямошовные (ГОСТ 10704-91), наружный диаметр: 57 мм, толщина стенки 3,0 мм</t>
  </si>
  <si>
    <t>ТЕР16-02-006-01</t>
  </si>
  <si>
    <t>Прокладка трубопроводов обвязки котлов, водонагревателей и насосов из стальных бесшовных и электросварных труб диаметром: до 40 мм</t>
  </si>
  <si>
    <t>ТССЦ-23.3.06.05-0005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</si>
  <si>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</si>
  <si>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>ТССЦ-23.3.06.05-0004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</si>
  <si>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</si>
  <si>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>ТССЦ-23.3.06.05-0003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</si>
  <si>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</si>
  <si>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>ТССЦ-23.3.06.05-0002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</si>
  <si>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</si>
  <si>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>ТССЦ-23.3.06.05-0001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</si>
  <si>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</si>
  <si>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>ТЕР13-03-004-21</t>
  </si>
  <si>
    <t>Окраска металлических огрунтованных поверхностей: эмалью КО-811</t>
  </si>
  <si>
    <t>ТССЦ-14.4.04.04-0005</t>
  </si>
  <si>
    <t>Эмаль кремнийорганическая: КО-811 зеленая</t>
  </si>
  <si>
    <t>Эмаль Ч.1 Стр.223</t>
  </si>
  <si>
    <t>ТССЦ-12.2.07.04-0008</t>
  </si>
  <si>
    <t>Трубки высокотемпературные из вспененного каучука K-FLEX ECO, толщиной: 9 мм, диаметром 42 мм</t>
  </si>
  <si>
    <t>ТССЦ-12.2.07.04-0144</t>
  </si>
  <si>
    <t>Трубки высокотемпературные из вспененного каучука K-FLEX ST, толщиной: 9 мм, внутренним диаметром 114 мм</t>
  </si>
  <si>
    <t>ТССЦ-23.1.02.07-0002</t>
  </si>
  <si>
    <t>Крепления для трубопроводов: кронштейны, планки, хомуты</t>
  </si>
  <si>
    <t>ТССЦ-24.3.01.02-0011</t>
  </si>
  <si>
    <t>Трубы гибкие гофрированные легкие из самозатухающего ПВХ (IP55) серии FL, диаметром: 16 мм</t>
  </si>
  <si>
    <t>ТЕРм08-02-148-01</t>
  </si>
  <si>
    <t>Кабель до 35 кВ в проложенных трубах, блоках и коробах, масса 1 м кабеля: до 1 кг</t>
  </si>
  <si>
    <t>ТССЦ-21.1.06.09-0151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</si>
  <si>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марки: ВВГнг-LS, с числом жил - 3 и сечением 1,5 мм2</t>
  </si>
  <si>
    <t>1000 м</t>
  </si>
  <si>
    <t>КабельОптом Ч.1 Стр.222</t>
  </si>
  <si>
    <t>ЛС 02-01-16 Поз.: 1-7.3</t>
  </si>
  <si>
    <t>ТЕРм08-02-412-01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</si>
  <si>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</si>
  <si>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>ЭлектроКомплект ч.6 стр.12</t>
  </si>
  <si>
    <t>Leht.ru ч.6 стр.17</t>
  </si>
  <si>
    <t>ГК "ОКС" ч.6 стр.6</t>
  </si>
  <si>
    <t>ТЕРм08-03-575-01</t>
  </si>
  <si>
    <t>Прибор или аппарат</t>
  </si>
  <si>
    <t>ГК "ОКС" ч.6 стр.7</t>
  </si>
  <si>
    <t>ТЕР11-01-040-01</t>
  </si>
  <si>
    <t>Устройство плинтусов поливинилхлоридных: на клее КН-2</t>
  </si>
  <si>
    <t>ГК "ОКС" ч.6 стр.15</t>
  </si>
  <si>
    <t>ТЕРм10-08-019-01</t>
  </si>
  <si>
    <t>Коробка ответвительная на стене</t>
  </si>
  <si>
    <t>ООО "ЭТМ" ч.6 стр.4</t>
  </si>
  <si>
    <t>ТЕРм08-01-082-01</t>
  </si>
  <si>
    <t>Зажим наборный без кожуха</t>
  </si>
  <si>
    <t>Layta ч.6 стр.16</t>
  </si>
  <si>
    <t>ТССЦ-20.2.12.03-0012</t>
  </si>
  <si>
    <t>Трубы гибкие гофрированные из ПВХ "DKC" диаметром: 25 мм</t>
  </si>
  <si>
    <t>ТССЦ-20.2.05.02-0011</t>
  </si>
  <si>
    <t>Держатель с защелкой "DKC" для труб диаметром: 25 мм</t>
  </si>
  <si>
    <t>ТССЦ-14.5.01.07-0101</t>
  </si>
  <si>
    <t>Герметик "МОМЕНТ", силиконовый универсальный прозрачный, "Henkel"</t>
  </si>
  <si>
    <t>ЛС 02-01-17 Поз.: 1-33</t>
  </si>
  <si>
    <t>ТЕРм10-08-001-01</t>
  </si>
  <si>
    <t>Приборы ПС приемно-контрольные, пусковые, концентратор: блок базовый на 10 лучей</t>
  </si>
  <si>
    <t>ЭТМ ч.4 стр.73</t>
  </si>
  <si>
    <t>ТЕРм10-08-001-13</t>
  </si>
  <si>
    <t>Устройства промежуточные на количество лучей: 1</t>
  </si>
  <si>
    <t>ЭТМ ч.4 стр.74</t>
  </si>
  <si>
    <t>Layta ч.4 стр.39</t>
  </si>
  <si>
    <t>ТЕРм10-08-001-05</t>
  </si>
  <si>
    <t>Приборы ПС на: 1 луч</t>
  </si>
  <si>
    <t>ЭТМ ч.4 стр.76</t>
  </si>
  <si>
    <t>layta ч.4 стр.5</t>
  </si>
  <si>
    <t>СЕКТОР-СБ ч.4 стр.42</t>
  </si>
  <si>
    <t>Торговый дом ТИНКО ч.4 стр.79</t>
  </si>
  <si>
    <t>layta  ч.4 стр.44</t>
  </si>
  <si>
    <t>ТЕРм10-08-002-02</t>
  </si>
  <si>
    <t>Извещатель ПС автоматический: дымовой, фотоэлектрический, радиоизотопный, световой в нормальном исполнении</t>
  </si>
  <si>
    <t>ЕТМ ч.4 стр.82</t>
  </si>
  <si>
    <t>DELC ч.4 стр.83</t>
  </si>
  <si>
    <t>Извещатель ПС автоматический: тепловой электро-контактный, магнитоконтактный в нормальном исполнении</t>
  </si>
  <si>
    <t>ЕТМ ч.4 стр.84</t>
  </si>
  <si>
    <t>ТЕРм10-04-066-04</t>
  </si>
  <si>
    <t>Коробка кабельная соединительная или разветвительная</t>
  </si>
  <si>
    <t>DELC ч.4 стр.49</t>
  </si>
  <si>
    <t>ТЕРм10-04-101-15</t>
  </si>
  <si>
    <t xml:space="preserve">Транспарант световой (табло)  </t>
  </si>
  <si>
    <t>БДПО ч.4 стр.50</t>
  </si>
  <si>
    <t>Layta ч.4 стр.124</t>
  </si>
  <si>
    <t>ТЕРм10-01-039-06</t>
  </si>
  <si>
    <t xml:space="preserve">Реле, ключ, кнопка и др. с подготовкой места установки      </t>
  </si>
  <si>
    <t>ТЕРм08-03-593-09</t>
  </si>
  <si>
    <t>Светильник: местного освещения</t>
  </si>
  <si>
    <t>layta ч.4 стр.16</t>
  </si>
  <si>
    <t>АТМ ч.4 стр.19</t>
  </si>
  <si>
    <t>СекторСБ  ч.4 стр.92</t>
  </si>
  <si>
    <t>ПромЭлектроСерви ч.4 стр.114</t>
  </si>
  <si>
    <t>Торговый дом Тинко ч.4 стр.94</t>
  </si>
  <si>
    <t>ABC Электро ч.4 стр.95</t>
  </si>
  <si>
    <t>ТЕРм08-02-407-06</t>
  </si>
  <si>
    <t>Труба стальная по установленным конструкциям, в готовых бороздах, по основанию пола, диаметр: до 25 мм</t>
  </si>
  <si>
    <t>ТССЦ-23.3.06.04-0004</t>
  </si>
  <si>
    <t>Трубы стальные сварные водогазопроводные с резьбой черные легкие (неоцинкованные) диаметр условного прохода: 15 мм, толщина стенки 2,5 мм</t>
  </si>
  <si>
    <t>ТЕРм08-02-155-01</t>
  </si>
  <si>
    <t>Герметизация проходов при вводе кабелей во взрывоопасные помещения уплотнительной массой/применительно</t>
  </si>
  <si>
    <t>ТССЦ-01.7.07.29-0221</t>
  </si>
  <si>
    <t>Уплотнительный состав</t>
  </si>
  <si>
    <t>AWAN ч.4 стр.98</t>
  </si>
  <si>
    <t>ТССЦ-24.3.01.02-0002</t>
  </si>
  <si>
    <t>Трубы гибкие гофрированные из самозатухающего ПВХ- пластиката (ГОСТ Р 50827-95) легкого типа, со стальной протяжкой (зондом), наружным диаметром 25 мм</t>
  </si>
  <si>
    <t>Artem-tools ч.4 стр.28</t>
  </si>
  <si>
    <t>ТЕРм10-02-015-01</t>
  </si>
  <si>
    <t>Станция, пульт и установка оперативной телефонной связи с усилительным устройством, емкость 10 номеров</t>
  </si>
  <si>
    <t>ТД Тинко ч.4 стр.29</t>
  </si>
  <si>
    <t>ТЕРм10-07-019-01</t>
  </si>
  <si>
    <t>Абонентское устройство АУ-КТС избирательной связи (отдельно устанавливаемое)</t>
  </si>
  <si>
    <t>GetCall.ru ч.4 стр.30</t>
  </si>
  <si>
    <t>Бенитекс ч.4 стр.115</t>
  </si>
  <si>
    <t>комплект</t>
  </si>
  <si>
    <t>Кабель симметричный, парной скрутки, огнестойкие, повышенной пожаростойкости 2х2х0,5, КПСГЭнг(А)-FRHF LTx Цена=(28,00)</t>
  </si>
  <si>
    <t>АТ-ЭЛ ч.4 стр.117</t>
  </si>
  <si>
    <t>ТЕРм08-02-412-06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</si>
  <si>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120 мм2</t>
  </si>
  <si>
    <t>СКС Электро ч.4 стр.119</t>
  </si>
  <si>
    <t>ЛС 02-01-18 Поз.: 1-25</t>
  </si>
  <si>
    <t>ТЕРм10-03-013-08</t>
  </si>
  <si>
    <t>Шкаф вводный к коммутаторам</t>
  </si>
  <si>
    <t>Vionet ч.5 стр.121</t>
  </si>
  <si>
    <t>Sip-Store ч.5 стр.26</t>
  </si>
  <si>
    <t>СвязьСтройДеталь ч.5 стр.27</t>
  </si>
  <si>
    <t>Фронтекс Ч.5 стр.180</t>
  </si>
  <si>
    <t>AND-Systems ч.5 стр.76</t>
  </si>
  <si>
    <t>ГК "Вектор Связи" ч.5 стр.168</t>
  </si>
  <si>
    <t>СвязьСтройДеталь ч.5 стр.30</t>
  </si>
  <si>
    <t>СвязьСтройДеталь ч.5 стр.127</t>
  </si>
  <si>
    <t>layta ч.5 стр.128</t>
  </si>
  <si>
    <t>СвязьСтройДеталь ч.5 стр.33</t>
  </si>
  <si>
    <t>Лансет ч.5 стр.130</t>
  </si>
  <si>
    <t>ТЕРм08-01-121-01</t>
  </si>
  <si>
    <t>Аккумулятор кислотный стационарный, тип: С-1, СК-1</t>
  </si>
  <si>
    <t>СПЕКТР DeltaBattery ч.5 стр.83</t>
  </si>
  <si>
    <t>Скат ч.5 стр.132</t>
  </si>
  <si>
    <t>ТЕРм08-03-591-09</t>
  </si>
  <si>
    <t>Розетка штепсельная: утопленного типа при скрытой проводке</t>
  </si>
  <si>
    <t>Layta ч.5 стр.88</t>
  </si>
  <si>
    <t>Sip-Store.ru ч.5 стр.38</t>
  </si>
  <si>
    <t>MON24 ч.5 стр.39</t>
  </si>
  <si>
    <t>ТЕРм10-05-001-07</t>
  </si>
  <si>
    <t>Система из нескольких антенн</t>
  </si>
  <si>
    <t>система</t>
  </si>
  <si>
    <t>ANTENNSHOP ч.5 стр.138</t>
  </si>
  <si>
    <t>VECTORTV ч.5 стр.139</t>
  </si>
  <si>
    <t>СИМА ЛЕНД ч.5 стр.140</t>
  </si>
  <si>
    <t>LEON ч.5 стр.176</t>
  </si>
  <si>
    <t>компл</t>
  </si>
  <si>
    <t>Все кабели ч.5 стр.146</t>
  </si>
  <si>
    <t>CrimeaTech ч.5 стр.51</t>
  </si>
  <si>
    <t>ТЕРм10-02-016-07</t>
  </si>
  <si>
    <t>Отдельно устанавливаемый: усилитель дуплексный или абонентский</t>
  </si>
  <si>
    <t>DOMICA ч.5 стр.148</t>
  </si>
  <si>
    <t>United telecom ч.5 стр.53</t>
  </si>
  <si>
    <t>ТЕРм10-08-016-01</t>
  </si>
  <si>
    <t>Электрочасы вторичные для помещений односторонние: на стене</t>
  </si>
  <si>
    <t>АТМ ч.5 стр.54</t>
  </si>
  <si>
    <t>ТЕРм10-04-066-07</t>
  </si>
  <si>
    <t>Розетка микрофонная</t>
  </si>
  <si>
    <t>ТССЦ-20.4.03.03-0003</t>
  </si>
  <si>
    <t>Радиорозетка РПВ-2</t>
  </si>
  <si>
    <t>ТССЦ-20.5.02.10-0013</t>
  </si>
  <si>
    <t>Коробка универсальная марки: УК-Р-0,5-15</t>
  </si>
  <si>
    <t>ТЕРм10-04-101-07</t>
  </si>
  <si>
    <t>Громкоговоритель или звуковая колонка: в помещении</t>
  </si>
  <si>
    <t>САТРО ПАЛАДИН ч.5 стр.119</t>
  </si>
  <si>
    <t>ТД "Тинко" ч.5 стр.173</t>
  </si>
  <si>
    <t>ТССЦ-24.3.01.02-0026</t>
  </si>
  <si>
    <t>Трубы гибкие гофрированные легкие из самозатухающего ПВХ (IP55) серии FL, с зондом, диаметром: 50 мм</t>
  </si>
  <si>
    <t>ТССЦ-20.2.05.02-0013</t>
  </si>
  <si>
    <t>Держатель с защелкой "DKC" для труб диаметром: 50 мм</t>
  </si>
  <si>
    <t>ТССЦ-20.2.05.04-0025</t>
  </si>
  <si>
    <t>Кабель-канал (короб) "Электропласт": 25x16 мм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</si>
  <si>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 до 2,5 мм2</t>
  </si>
  <si>
    <t>125Микрон ч.5 стр.68</t>
  </si>
  <si>
    <t>ЭлектроКомплект ч.5 стр.117</t>
  </si>
  <si>
    <t>Layta ч.5 стр.114</t>
  </si>
  <si>
    <t>ООО "Анагрейон" ч.5 стр.169</t>
  </si>
  <si>
    <t>ТД "Тинко" ч.5 стр.67</t>
  </si>
  <si>
    <t>ТЕРм10-01-055-02</t>
  </si>
  <si>
    <t>Прокладка кабеля, масса 1 м: до 1 кг, по стене кирпичной</t>
  </si>
  <si>
    <t>ООО "АВС Рус" ч.5 стр.107</t>
  </si>
  <si>
    <t>Кабель Свет ч.5 стр.108</t>
  </si>
  <si>
    <t>ООО "СвязьСтройДеталь" ч.5 стр.64</t>
  </si>
  <si>
    <t>ТД "Тинко" ч.5 стр.159</t>
  </si>
  <si>
    <t>ЭТМ ч.5 стр.113</t>
  </si>
  <si>
    <t>ТЕРм11-03-001-01</t>
  </si>
  <si>
    <t>Приборы, устанавливаемые на металлоконструкциях, щитах и пультах, масса: до 5 кг</t>
  </si>
  <si>
    <t>Vionet ч.5 стр.85</t>
  </si>
  <si>
    <t>ТССЦ-20.4.04.02-0021</t>
  </si>
  <si>
    <t>Щиты распределительные навесные: ЩРН-9, размер корпуса 220х300х125 мм</t>
  </si>
  <si>
    <t>ТССЦ-20.4.04.01-0023</t>
  </si>
  <si>
    <t>Шкаф металлический навесной ШРН-1М-2/30, для установки в помещениях, емкость 30 пар</t>
  </si>
  <si>
    <t>ТЕРм10-06-058-02</t>
  </si>
  <si>
    <t>Монтаж прямых муфт для волоконно-оптических кабелей в колодце, емкость оптических волокон: 8</t>
  </si>
  <si>
    <t>ООО "СвязьСтройДеталь" ч.5 стр.5</t>
  </si>
  <si>
    <t>ТЕРм08-02-158-06</t>
  </si>
  <si>
    <t>Заделка концевая сухая для контрольного кабеля сечением одной жилы: до 2,5 мм2, количество жил до 10</t>
  </si>
  <si>
    <t>ЛС 03-01-01 Поз.: 5-22.1</t>
  </si>
  <si>
    <t>ТЕР01-03-031-05</t>
  </si>
  <si>
    <t>Засыпка траншей и котлованов с перемещением грунта до 5 м бульдозерами мощностью: 79 кВт (108 л.с.), группа грунтов 2 м</t>
  </si>
  <si>
    <t>ТССЦ-02.2.04.03-0003</t>
  </si>
  <si>
    <t>Смесь песчано-гравийная природная</t>
  </si>
  <si>
    <t>Устройство основания под фундаменты: щебеночного</t>
  </si>
  <si>
    <t>ТССЦ-02.2.05.04-0047</t>
  </si>
  <si>
    <t>Щебень из гравия для строительных работ марка 600, фракция 20-40 мм</t>
  </si>
  <si>
    <t>ТССЦ-04.1.02.01-0006</t>
  </si>
  <si>
    <t>Бетон мелкозернистый, класс: В15 (М200)</t>
  </si>
  <si>
    <t>ТССЦ-08.4.02.03-0012</t>
  </si>
  <si>
    <t>Каркасы и сетки арматурные плоские, собранные и сваренные (связанные) в арматурные изделия, закладные и накладные детали: со сваркой</t>
  </si>
  <si>
    <t>ТЕР09-06-033-02</t>
  </si>
  <si>
    <t>Монтаж труб вытяжных, дымовых и вентиляционных диаметром до 3250 мм из листовой стали высотой: до 45 м (вес указан:R 11.23.09.0801.2, табл.3, габариты и размеры, инструкция по монтажу дымовых труб-прилагается)</t>
  </si>
  <si>
    <t>ТЕРм37-01-013-06</t>
  </si>
  <si>
    <t>Монтаж машин и механизмов на открытой площадке, масса машин и механизмов 1,5 т -(монтаж котельной)</t>
  </si>
  <si>
    <t>ООО"Поток" Ч.3 стр.124-133</t>
  </si>
  <si>
    <t>ЛС 04-01-01 Поз.: 1-29.1</t>
  </si>
  <si>
    <t>ТЕР01-02-031-02</t>
  </si>
  <si>
    <t>Бурение ям глубиной до 2 м бурильно-крановыми машинами: на тракторе, группа грунтов 2</t>
  </si>
  <si>
    <t>ТССЦ-02.2.05.04-0076</t>
  </si>
  <si>
    <t>Щебень из природного камня для строительных работ марка: 300, фракция 10-20 мм</t>
  </si>
  <si>
    <t>ТЕР06-01-015-06</t>
  </si>
  <si>
    <t>Установка стальных конструкций, остающихся в теле бетона</t>
  </si>
  <si>
    <t>Профитэнерго Ч.7 стр.195</t>
  </si>
  <si>
    <t>ТЕР06-01-001-02</t>
  </si>
  <si>
    <t>Устройство бетонных фундаментов общего назначения под колонны объемом: до 3 м3</t>
  </si>
  <si>
    <t>ТССЦ-04.1.02.05-0007</t>
  </si>
  <si>
    <t>Бетон тяжелый, класс: В20 (М250)</t>
  </si>
  <si>
    <t>ТССЦпг-01-01-01-039</t>
  </si>
  <si>
    <t>Погрузо-разгрузочные работы при автомобильных перевозках: Погрузка грунта растительного слоя (земля, перегной)</t>
  </si>
  <si>
    <t>1 т груза</t>
  </si>
  <si>
    <t>ТССЦпг-03-21-01-028</t>
  </si>
  <si>
    <t>Перевозка грузов автомобилями-самосвалами грузоподъемностью 10 т работающих вне карьера на расстояние: I класс груза до 28 км</t>
  </si>
  <si>
    <t>ТЕР09-08-001-03</t>
  </si>
  <si>
    <t>Установка металлических столбов высотой до 4 м: на подготовленный бетонный фундамент</t>
  </si>
  <si>
    <t>АрхиСталь Ч.7 стр.182</t>
  </si>
  <si>
    <t>ТЕРм08-02-364-01</t>
  </si>
  <si>
    <t>Кронштейн "Переход" на: опоре</t>
  </si>
  <si>
    <t>Энергокомплект Ч.7 стр.185</t>
  </si>
  <si>
    <t>Энергокомплект Ч.7 стр.186</t>
  </si>
  <si>
    <t>ТЕРм08-02-369-04</t>
  </si>
  <si>
    <t>Светильник, устанавливаемый вне зданий "Шар венчающий"</t>
  </si>
  <si>
    <t>СпецЛампы Ч.7 стр.193</t>
  </si>
  <si>
    <t>ТЕРм08-03-545-05</t>
  </si>
  <si>
    <t>Коробка с зажимами, устанавливаемая на конструкции на стене или колонне, для кабелей или проводов сечением: до 10 мм2, с количеством зажимов до 4</t>
  </si>
  <si>
    <t>Элвиста Ч.7 стр.196</t>
  </si>
  <si>
    <t>Электрокомплект Ч.7 стр.206</t>
  </si>
  <si>
    <t>ТЕР01-01-022-14</t>
  </si>
  <si>
    <t>Разработка грунта с погрузкой на автомобили-самосвалы в траншеях экскаватором «обратная лопата» с ковшом вместимостью 0,5 (0,5-0,63) м3 с погрузкой на автомобили-самосвалы, группа грунтов 2</t>
  </si>
  <si>
    <t>ТЕР23-01-001-01</t>
  </si>
  <si>
    <t>Устройство основания под трубопроводы: песчаного</t>
  </si>
  <si>
    <t>ТССЦ-02.3.01.02-0033</t>
  </si>
  <si>
    <t>Песок природный обогащенный для строительных работ средний</t>
  </si>
  <si>
    <t>ТЕРм08-02-143-01</t>
  </si>
  <si>
    <t>Покрытие кабеля, проложенного в траншее: кирпичом одного кабеля</t>
  </si>
  <si>
    <t>ТССЦ-06.1.01.05-0034</t>
  </si>
  <si>
    <t>Кирпич керамический одинарный, размером 250х120х65 мм, марка: 75</t>
  </si>
  <si>
    <t>ТЕР34-02-003-01</t>
  </si>
  <si>
    <t>Устройство трубопроводов из полиэтиленовых труб: до 2 отверстий</t>
  </si>
  <si>
    <t>км</t>
  </si>
  <si>
    <t>ТССЦ-24.3.03.13-0501</t>
  </si>
  <si>
    <t>Трубы полиэтиленовые низкого давления (ПНД) с наружным диаметром 110 мм</t>
  </si>
  <si>
    <t>ТССЦ-24.3.03.13-0306</t>
  </si>
  <si>
    <t>Трубы гладкие одностенные легкие из ПНД, диаметром: 50 мм</t>
  </si>
  <si>
    <t>ТССЦ-21.1.06.09-0214</t>
  </si>
  <si>
    <t>Кабель силовой с медными жилами с поливинилхлоридной изоляцией с броней из стальной ленты в шланге из поливинилхлорида: ВБбШв, напряжением 0,66 кВ, число жил - 5 и сечением 6,0 мм2</t>
  </si>
  <si>
    <t>ТССЦ-21.1.06.09-0213</t>
  </si>
  <si>
    <t>Кабель силовой с медными жилами с поливинилхлоридной изоляцией с броней из стальной ленты в шланге из поливинилхлорида: ВБбШв, напряжением 0,66 кВ, число жил - 5 и сечением 4,0 мм2</t>
  </si>
  <si>
    <t>ТССЦ-21.1.06.09-0212</t>
  </si>
  <si>
    <t>Кабель силовой с медными жилами с поливинилхлоридной изоляцией с броней из стальной ленты в шланге из поливинилхлорида: ВБбШв, напряжением 0,66 кВ, число жил - 5 и сечением 2,5 мм2</t>
  </si>
  <si>
    <t>ТССЦ-21.1.06.09-0055</t>
  </si>
  <si>
    <t>Кабель силовой с медными жилами с поливинилхлоридной изоляцией в поливинилхлоридной оболочке без защитного покрова: ВВГ, напряжением 0,66 кВ, число жил - 3 и сечением 2,5 мм2</t>
  </si>
  <si>
    <t>ТЕРм08-02-160-02</t>
  </si>
  <si>
    <t>Заделка концевая эпоксидная для 3-5-жильного кабеля напряжением до 1 кВ, сечение одной жилы до 240 мм2</t>
  </si>
  <si>
    <t>ТЕРм08-02-160-01</t>
  </si>
  <si>
    <t>Заделка концевая эпоксидная для 3-5-жильного кабеля напряжением до 1 кВ, сечение одной жилы до 70 мм2</t>
  </si>
  <si>
    <t>ТЕРм08-04-741-02</t>
  </si>
  <si>
    <t>Муфта концевая для кабеля с изоляцией из вулканизированного полиэтилена с применением термоусаживаемой перчатки напряжением: 1 кВ, сечением до 3х185 мм2</t>
  </si>
  <si>
    <t>RS24.ru Ч.1 стр.30</t>
  </si>
  <si>
    <t>ТССЦ-20.2.10.03-0008</t>
  </si>
  <si>
    <t>Наконечники кабельные: медные ТМ-6</t>
  </si>
  <si>
    <t>ТССЦ-02.3.01.02-0015</t>
  </si>
  <si>
    <t>Песок природный для строительных: работ средний</t>
  </si>
  <si>
    <t>ТЕРм08-02-472-02</t>
  </si>
  <si>
    <t>Заземлитель горизонтальный из стали: полосовой сечением 160 мм2</t>
  </si>
  <si>
    <t>ТЕРм08-02-471-04</t>
  </si>
  <si>
    <t>Заземлитель вертикальный из круглой стали диаметром: 16 мм</t>
  </si>
  <si>
    <t>ТССЦ-08.3.04.02-0082</t>
  </si>
  <si>
    <t>Сталь круглая оцинкованная диаметром 10-12 мм</t>
  </si>
  <si>
    <t>ООО "ЭКС" Ч.1 стр.21</t>
  </si>
  <si>
    <t>ТЕРм08-02-370-02</t>
  </si>
  <si>
    <t>Щиток до трех групп, устанавливаемый в: нише цоколя</t>
  </si>
  <si>
    <t>ООО "ЭТМ" Ч.6 стр.143 п.18</t>
  </si>
  <si>
    <t>ЛС 05-01-01 Поз.: 1-13</t>
  </si>
  <si>
    <t>ТЕР01-01-003-16</t>
  </si>
  <si>
    <t>Разработка грунта в отвал экскаваторами "драглайн" или "обратная лопата" с ковшом вместимостью: 0,5 (0,5-0,63) м3, группа грунтов 4</t>
  </si>
  <si>
    <t>ТЕР01-01-013-16</t>
  </si>
  <si>
    <t>Разработка грунта с погрузкой на автомобили-самосвалы экскаваторами с ковшом вместимостью: 0,5 (0,5-0,63) м3, группа грунтов 4</t>
  </si>
  <si>
    <t>ТЕР01-02-057-04</t>
  </si>
  <si>
    <t>Разработка грунта вручную в траншеях глубиной до 2 м без креплений с откосами, группа грунтов: 4</t>
  </si>
  <si>
    <t>ТЕР01-01-033-03</t>
  </si>
  <si>
    <t>Засыпка траншей и котлованов с перемещением грунта до 5 м бульдозерами мощностью: 59 кВт (80 л.с.), группа грунтов 3</t>
  </si>
  <si>
    <t>ТЕР01-02-061-03</t>
  </si>
  <si>
    <t>Засыпка вручную траншей, пазух котлованов и ям, группа грунтов: 3</t>
  </si>
  <si>
    <t>ТССЦпг-03-21-01-010</t>
  </si>
  <si>
    <t>Перевозка грузов автомобилями-самосвалами грузоподъемностью 10 т работающих вне карьера на расстояние: I класс груза до 10 км</t>
  </si>
  <si>
    <t>Layta Ч.5 стр.14</t>
  </si>
  <si>
    <t>ТЕРм10-06-048-05</t>
  </si>
  <si>
    <t>Прокладка волоконно-оптических кабелей в траншее</t>
  </si>
  <si>
    <t>ТССЦ-01.7.06.08-0012</t>
  </si>
  <si>
    <t>Лента сигнальная «Электро» с логотипом «Осторожно кабель» ЛСЭ-300 (100 мх300 мм)</t>
  </si>
  <si>
    <t>ТЕР34-02-005-04</t>
  </si>
  <si>
    <t>Устройство колодцев железобетонных сборных типовых, собранных на трассе, устанавливаемых: на пешеходной части ККС-2</t>
  </si>
  <si>
    <t>ТССЦ-05.1.01.08-0081</t>
  </si>
  <si>
    <t>Колодцы объемные канализационные и смотровые из бетона В20 (М250) с расходом арматуры 50 кг/м3</t>
  </si>
  <si>
    <t>ТССЦ-05.1.01.13-0041</t>
  </si>
  <si>
    <t>Плиты железобетонные: опорные</t>
  </si>
  <si>
    <t>ГК "Мир ЖБИ" Ч.5 стр.12</t>
  </si>
  <si>
    <t>ТЕР34-02-012-01</t>
  </si>
  <si>
    <t>Устройство ввода труб в колодцы</t>
  </si>
  <si>
    <t>10 каналов</t>
  </si>
  <si>
    <t>ТЕРм10-06-059-02</t>
  </si>
  <si>
    <t>Измерение на смонтированном участке волоконно-оптического кабеля в одном направлении с числом волокон: 8</t>
  </si>
  <si>
    <t>измерение</t>
  </si>
  <si>
    <t>ЛС 06-01-01 Поз.: 1-60</t>
  </si>
  <si>
    <t>ТЕР01-01-003-08</t>
  </si>
  <si>
    <t>Разработка грунта в отвал экскаваторами "драглайн" или "обратная лопата" с ковшом вместимостью: 0,65 (0,5-1) м3, группа грунтов 2</t>
  </si>
  <si>
    <t>ТЕР01-02-057-01</t>
  </si>
  <si>
    <t>Разработка грунта вручную в траншеях глубиной до 2 м без креплений с откосами, группа грунтов: 1</t>
  </si>
  <si>
    <t>ТЕР01-01-022-08</t>
  </si>
  <si>
    <t>Разработка грунта с погрузкой на автомобили-самосвалы в траншеях экскаватором «обратная лопата» с ковшом вместимостью 0,65 (0,5-1) м3 с погрузкой на автомобили-самосвалы, группа грунтов 2</t>
  </si>
  <si>
    <t>ТССЦпг-03-21-01-001</t>
  </si>
  <si>
    <t>Перевозка грузов автомобилями-самосвалами грузоподъемностью 10 т работающих вне карьера на расстояние: I класс груза до 1 км</t>
  </si>
  <si>
    <t>ТЕР01-01-033-01</t>
  </si>
  <si>
    <t>Засыпка траншей и котлованов с перемещением грунта до 5 м бульдозерами мощностью: 59 кВт (80 л.с.), группа грунтов 1</t>
  </si>
  <si>
    <t>ТССЦ-02.3.01.05-0002</t>
  </si>
  <si>
    <t>Песок для строительных работ из отсевов дробления, марка: 400 очень мелкий</t>
  </si>
  <si>
    <t>ТЕР01-01-009-23</t>
  </si>
  <si>
    <t>Разработка траншей экскаватором «обратная лопата» с ковшом вместимостью 0,25 м3 в отвал, группа грунтов: 2</t>
  </si>
  <si>
    <t>ТЕР24-02-031-02</t>
  </si>
  <si>
    <t>Укладка полиэтиленовых труб газопроводов в траншею со стационарно установленного барабана, диаметр труб свыше 63 до 110 мм</t>
  </si>
  <si>
    <t>ТССЦ-24.3.03.11-0024</t>
  </si>
  <si>
    <t>Труба напорная из полиэтилена PE 100 для газопроводов: ПЭ100 SDR11, размером 63х5,8 мм (ГОСТ Р 50838-95)</t>
  </si>
  <si>
    <t>ТЕР24-02-030-04</t>
  </si>
  <si>
    <t>Укладка в траншею изолированных стальных газопроводов диаметром 150 мм</t>
  </si>
  <si>
    <t>ТССЦ-23.5.02.02-0008</t>
  </si>
  <si>
    <t>Трубы стальные электросварные прямошовные (ГОСТ 10704-91), наружный диаметр: 159 мм, толщина стенки 4,5 мм</t>
  </si>
  <si>
    <t>ТЕР22-05-003-01</t>
  </si>
  <si>
    <t>Протаскивание в футляр стальных труб диаметром: 100 мм</t>
  </si>
  <si>
    <t>ТССЦ-24.3.05.07-0513</t>
  </si>
  <si>
    <t>Муфты полиэтиленовые: с закладными электронагревателями для труб диаметром 63 мм</t>
  </si>
  <si>
    <t>ТЕР24-02-005-02</t>
  </si>
  <si>
    <t>Установка отвода с закладными нагревателями на газопроводе из полиэтиленовых труб в горизонтальной плоскости, диаметр отвода свыше 32 до 63 мм</t>
  </si>
  <si>
    <t>ТССЦ-24.3.05.08-0223</t>
  </si>
  <si>
    <t>Отвод литой 90° из полиэтилена с закладными электронагревателями, диаметр: 63 мм</t>
  </si>
  <si>
    <t>ТЕР22-05-004-11</t>
  </si>
  <si>
    <t>Заделка битумом и прядью концов футляра диаметром до 100 мм</t>
  </si>
  <si>
    <t>1 футляр</t>
  </si>
  <si>
    <t>ТЕРр66-38-1</t>
  </si>
  <si>
    <t>Заполнение трубопроводов или межтрубного пространства при трубах в футляре: песком</t>
  </si>
  <si>
    <t>ТССЦ-02.3.01.02-0013</t>
  </si>
  <si>
    <t>Песок природный для строительных: работ очень мелкий с крупностью зерен размером свыше 1,25 мм - до 5% по массе</t>
  </si>
  <si>
    <t>ТЕРм08-02-141-01</t>
  </si>
  <si>
    <t>Кабель до 35 кВ в готовых траншеях без покрытий, масса 1 м: до 1 кг (для обозначения газопровода)</t>
  </si>
  <si>
    <t>ТССЦ-21.1.06.09-0083</t>
  </si>
  <si>
    <t>Кабель силовой с медными жилами с поливинилхлоридной изоляцией и оболочкой, не распространяющий горение марки: ВВГнг, напряжением 0,66 кВ, с числом жил - 1 и сечением 4 мм2</t>
  </si>
  <si>
    <t>ТССЦ-01.7.06.08-0007</t>
  </si>
  <si>
    <t>Лента сигнальная "Газ" ЛСГ 200</t>
  </si>
  <si>
    <t>ТЕР24-02-120-02</t>
  </si>
  <si>
    <t>Очистка полости трубопровода продувкой воздухом, номинальный диаметр газопровода 100 мм</t>
  </si>
  <si>
    <t>ТЕР24-02-122-02</t>
  </si>
  <si>
    <t>Подъем давления при испытании воздухом газопроводов низкого и среднего давления (до 0,3 МПа) номинальным диаметром 100 мм</t>
  </si>
  <si>
    <t>ТЕР24-02-124-01</t>
  </si>
  <si>
    <t>Выдержка под давлением до 0,6 МПа при испытании на прочность и герметичность участка газопровода номинальным диаметром 50-300 мм</t>
  </si>
  <si>
    <t>участок</t>
  </si>
  <si>
    <t>ТЕР24-02-040-12</t>
  </si>
  <si>
    <t>Монтаж металлических опор высотой свыше 1 до 2,2 м для надземной прокладки стальных газопроводов диаметром 100 мм</t>
  </si>
  <si>
    <t>ТССЦ-18.4.01.02-0041</t>
  </si>
  <si>
    <t>Газопроводы: опорные части, опоры, кронштейны, подвески, хомуты, седла, тарельчатые компенсаторы, прямолинейные участки, фасонные части дорожного габарита упругодеформированные до железнодорожного габарита</t>
  </si>
  <si>
    <t>ТЕР24-02-041-01</t>
  </si>
  <si>
    <t>Надземная прокладка стальных газопроводов на металлических опорах, диаметр газопровода 50 мм</t>
  </si>
  <si>
    <t>ТССЦ-23.5.02.02-0034</t>
  </si>
  <si>
    <t>Трубы стальные электросварные прямошовные со снятой фаской из стали марок БСт2кп-БСт4кп и БСт2пс-БСт4пс наружный диаметр: 57 мм, толщина стенки 3,5 мм</t>
  </si>
  <si>
    <t>ТЕР22-03-001-05</t>
  </si>
  <si>
    <t>Установка фасонных частей стальных сварных диаметром: 100-250 мм</t>
  </si>
  <si>
    <t>ТССЦ-23.8.03.12-0011</t>
  </si>
  <si>
    <t>Фасонные стальные сварные части, диаметр: до 800 мм</t>
  </si>
  <si>
    <t>ТССЦ-23.8.04.08-0164</t>
  </si>
  <si>
    <t>Переходы стальные концентрические бесшовные приварные (ГОСТ 17378-01), наружным диаметром и толщиной стенки: 108х4,0-89х3,5 мм</t>
  </si>
  <si>
    <t>ТССЦ-23.8.04.06-0311</t>
  </si>
  <si>
    <t>Отводы стальные крутоизогнутые бесшовные приварные (ГОСТ 17375-01): 90 град., наружным диаметром 57 мм, толщиной стенки 3,0 мм</t>
  </si>
  <si>
    <t>ТЕР22-03-014-01</t>
  </si>
  <si>
    <t>Приварка фланцев к стальным трубопроводам диаметром: 50 мм</t>
  </si>
  <si>
    <t>ТССЦ-23.8.03.11-0653</t>
  </si>
  <si>
    <t>Фланцы стальные плоские приварные из стали ВСт3сп2, ВСт3сп3, давлением: 1,0 МПа (10 кгс/см2), диаметром 50 мм</t>
  </si>
  <si>
    <t>ТЕР22-03-007-01</t>
  </si>
  <si>
    <t>Установка задвижек или клапанов обратных стальных диаметром: 50 мм</t>
  </si>
  <si>
    <t>ТССЦ-18.1.09.04-0030</t>
  </si>
  <si>
    <t>Краны газовые шаровые BROEN BALLOMAX, с фланцевым присоединением, полнопроходые, с ручкой, серии КШГ 70.113, давлением: 4,0 МПа (40 кгс/см2), диаметром 50 мм</t>
  </si>
  <si>
    <t>ТЕР19-01-004-01</t>
  </si>
  <si>
    <t>Устройство установки для редуцирования давления газа</t>
  </si>
  <si>
    <t>ООО "Газовые Технологии" Ч.3 стр.102 п.2</t>
  </si>
  <si>
    <t>ТЕР24-02-041-02</t>
  </si>
  <si>
    <t>Надземная прокладка стальных газопроводов на металлических опорах, диаметр газопровода 65 мм</t>
  </si>
  <si>
    <t>ТЕР24-02-041-04</t>
  </si>
  <si>
    <t>Надземная прокладка стальных газопроводов на металлических опорах, диаметр газопровода 100 мм</t>
  </si>
  <si>
    <t>ТССЦ-23.5.02.02-0039</t>
  </si>
  <si>
    <t>Трубы стальные электросварные прямошовные со снятой фаской из стали марок БСт2кп-БСт4кп и БСт2пс-БСт4пс наружный диаметр: 76 мм, толщина стенки 3,5 мм</t>
  </si>
  <si>
    <t>ТЕР24-02-080-01</t>
  </si>
  <si>
    <t>Установка газовых свечей из стальных труб диаметром 50 мм</t>
  </si>
  <si>
    <t>ТССЦ-23.8.04.06-0312</t>
  </si>
  <si>
    <t>Отводы стальные крутоизогнутые бесшовные приварные (ГОСТ 17375-01): 90 град., наружным диаметром 89 мм, толщиной стенки 3,5 мм</t>
  </si>
  <si>
    <t>ТССЦ-23.8.04.08-0032</t>
  </si>
  <si>
    <t>Переходы диаметром условного прохода: 80/50 мм и наружным диаметром 93/67 мм</t>
  </si>
  <si>
    <t>ТССЦ-18.1.09.04-0040</t>
  </si>
  <si>
    <t>ТССЦ-18.1.09.01-0025</t>
  </si>
  <si>
    <t>Краны стальные газовые шаровые: равнопроходные с ДУ 80 мм</t>
  </si>
  <si>
    <t>ТЕР09-03-039-05</t>
  </si>
  <si>
    <t>Монтаж опорных конструкций: этажерочного типа-  Монтаж шкафа</t>
  </si>
  <si>
    <t>ТССЦ-08.3.11.01-0046</t>
  </si>
  <si>
    <t>Швеллеры: № 8 сталь марки Ст3пс</t>
  </si>
  <si>
    <t>ТССЦ-08.3.05.02-0071</t>
  </si>
  <si>
    <t>Сталь листовая горячекатаная марки Ст3пс толщиной: 2 мм</t>
  </si>
  <si>
    <t>ТЕР13-03-002-05</t>
  </si>
  <si>
    <t>Огрунтовка металлических поверхностей за один раз: грунтовкой ГФ-0119</t>
  </si>
  <si>
    <t>ТЕР13-03-004-07</t>
  </si>
  <si>
    <t>Окраска металлических огрунтованных поверхностей: эмалью ХВ-125</t>
  </si>
  <si>
    <t>ТЕРм37-01-013-02</t>
  </si>
  <si>
    <t>Монтаж машин и механизмов на открытой площадке, масса машин и механизмов 0,05 т</t>
  </si>
  <si>
    <t>ООО "Газовые Технологии"  Ч.3 стр.100 п.1</t>
  </si>
  <si>
    <t>ТССЦ-08.3.07.01-0041</t>
  </si>
  <si>
    <t>Сталь полосовая: 40х4 мм</t>
  </si>
  <si>
    <t>ТССЦ-08.3.04.02-0095</t>
  </si>
  <si>
    <t>Сталь круглая углеродистая обыкновенного качества марки ВСт3пс5-1 диаметром: 16 мм</t>
  </si>
  <si>
    <t>ТЕР06-01-001-05</t>
  </si>
  <si>
    <t>Устройство железобетонных фундаментов общего назначения под колонны объемом: до 3 м3</t>
  </si>
  <si>
    <t>ТССЦ-04.1.02.05-0077</t>
  </si>
  <si>
    <t>Бетон тяжелый, крупность заполнителя: более 40 мм, класс В15 (М200)</t>
  </si>
  <si>
    <t>ТЕР06-01-015-02</t>
  </si>
  <si>
    <t>Установка анкерных болтов: в готовые гнезда с заделкой длиной более 1 м</t>
  </si>
  <si>
    <t>ТССЦ-08.4.03.03-0032</t>
  </si>
  <si>
    <t>Горячекатаная арматурная сталь периодического профиля класса: А-III, диаметром 12 мм ( L=1,1м)</t>
  </si>
  <si>
    <t>Монтаж опорных конструкций: этажерочного типа</t>
  </si>
  <si>
    <t>ТССЦ-07.2.07.04-0011</t>
  </si>
  <si>
    <t>Прочие индивидуальные сварные конструкции, масса сборочной единицы: до 0,1 т</t>
  </si>
  <si>
    <t>ТССЦ-04.1.02.05-0074</t>
  </si>
  <si>
    <t>Бетон тяжелый, крупность заполнителя: более 40 мм, класс В7,5 (М100)</t>
  </si>
  <si>
    <t>ТЕР09-08-001-01</t>
  </si>
  <si>
    <t>Установка металлических столбов высотой до 4 м: с погружением в бетонное основание</t>
  </si>
  <si>
    <t>ТЕР09-08-002-05</t>
  </si>
  <si>
    <t>Устройство заграждений из готовых металлических решетчатых панелей: высотой до 2 м</t>
  </si>
  <si>
    <t>ТССЦ-08.1.06.03-0001</t>
  </si>
  <si>
    <t>Панели металлические сетчатые</t>
  </si>
  <si>
    <t>ТЕР09-08-002-07</t>
  </si>
  <si>
    <t>Устройство калиток из готовых металлических решетчатых панелей</t>
  </si>
  <si>
    <t>ТССЦ-08.1.06.05-0032</t>
  </si>
  <si>
    <t>Полотна калиток сетчатые из сварной сетки: 100/100/3/3 S=1,25х1,47=1,84 м2, КМ 6Б (серия 3.017-1)</t>
  </si>
  <si>
    <t>ЛС 06-01-02 Поз.: 1-29</t>
  </si>
  <si>
    <t>ТЕР01-01-003-14</t>
  </si>
  <si>
    <t>Разработка грунта в отвал экскаваторами "драглайн" или "обратная лопата" с ковшом вместимостью: 0,5 (0,5-0,63) м3, группа грунтов 2</t>
  </si>
  <si>
    <t>ТЕР01-01-013-14</t>
  </si>
  <si>
    <t>Разработка грунта с погрузкой на автомобили-самосвалы экскаваторами с ковшом вместимостью: 0,5 (0,5-0,63) м3, группа грунтов 2</t>
  </si>
  <si>
    <t>ТЕР01-02-057-03</t>
  </si>
  <si>
    <t>Разработка грунта вручную в траншеях глубиной до 2 м без креплений с откосами, группа грунтов: 3</t>
  </si>
  <si>
    <t>Устройство основания под трубопроводы: песчаного (подготовка)</t>
  </si>
  <si>
    <t>Засыпка траншей и котлованов с перемещением грунта до 5 м бульдозерами мощностью: 59 кВт (80 л.с.), группа грунтов 1(Обратная засыпка траншеи песком над трубой )</t>
  </si>
  <si>
    <t>ТЕР23-01-020-01</t>
  </si>
  <si>
    <t>Укладка канализационных безнапорных раструбных труб из поливинилхлорида (ПВХ) диаметром: 250 мм</t>
  </si>
  <si>
    <t>ТССЦ-24.3.03.04-0013</t>
  </si>
  <si>
    <t>Трубы безнапорные муфтовые из полиэтилена "КОРСИС": SN 8 диаметром 110 мм</t>
  </si>
  <si>
    <t>ТССЦ-24.3.05.07-0161</t>
  </si>
  <si>
    <t>Муфта полиэтиленовая для труб "КОРСИС" диаметром: 110 мм</t>
  </si>
  <si>
    <t>ТССЦ-01.7.19.02-0062</t>
  </si>
  <si>
    <t>Кольца резиновые уплотнительные для полиэтиленовых труб диаметром: 110 мм</t>
  </si>
  <si>
    <t>ТЕР46-03-010-02</t>
  </si>
  <si>
    <t>Пробивка в бетонных стенах и полах толщиной 100 мм отверстий площадью: до 100 см2</t>
  </si>
  <si>
    <t>ТССЦ-24.3.05.07-0011</t>
  </si>
  <si>
    <t>Муфта защитная для прохода полиэтиленовых труб сквозь стену диаметром 110 мм</t>
  </si>
  <si>
    <t>ТССЦ-24.3.04.05-0008</t>
  </si>
  <si>
    <t>Трубы полимерные со структурированной стенкой для систем наружной канализации, марка "КОРСИС SN 10" (ТУ 2248-031-73011750-2014) SN 10,: наружным диаметром 160 мм</t>
  </si>
  <si>
    <t>ТССЦ-24.3.05.07-0163</t>
  </si>
  <si>
    <t>Муфта полиэтиленовая для труб "КОРСИС" диаметром: 160 мм</t>
  </si>
  <si>
    <t>ТССЦ-01.7.19.02-0064</t>
  </si>
  <si>
    <t>Кольца резиновые уплотнительные для полиэтиленовых труб диаметром: 160 мм</t>
  </si>
  <si>
    <t>ТССЦ-24.3.05.07-0014</t>
  </si>
  <si>
    <t>Муфта защитная для прохода полиэтиленовых труб сквозь стену диаметром 160 мм</t>
  </si>
  <si>
    <t>Lareter Ч.3 стр.11</t>
  </si>
  <si>
    <t>ТЕР22-01-011-03</t>
  </si>
  <si>
    <t>Укладка стальных водопроводных труб с гидравлическим испытанием диаметром: 100 мм</t>
  </si>
  <si>
    <t>ТССЦ-23.5.02.02-0049</t>
  </si>
  <si>
    <t>Трубы стальные электросварные прямошовные со снятой фаской из стали марок БСт2кп-БСт4кп и БСт2пс-БСт4пс наружный диаметр: 89 мм, толщина стенки 3,5 мм</t>
  </si>
  <si>
    <t>ТЕР22-02-001-03</t>
  </si>
  <si>
    <t>Нанесение нормальной антикоррозионной битумно-резиновой или битумно-полимерной изоляции на стальные трубопроводы диаметром: 100 мм</t>
  </si>
  <si>
    <t>ТССЦ-01.2.03.02-0001</t>
  </si>
  <si>
    <t>Грунтовка битумная под полимерное или резиновое покрытие</t>
  </si>
  <si>
    <t>ТССЦ-01.7.06.03-0001</t>
  </si>
  <si>
    <t>Лента мастично-полимерная типа «Лиам»</t>
  </si>
  <si>
    <t>ТССЦ-01.7.07.12-0001</t>
  </si>
  <si>
    <t>Обертка защитная на полиэтиленовой основе «Полилен-0»</t>
  </si>
  <si>
    <t>ТЕР23-03-001-03</t>
  </si>
  <si>
    <t>Устройство круглых сборных железобетонных канализационных колодцев диаметром: 1 м в сухих грунтах</t>
  </si>
  <si>
    <t>ТССЦ-05.1.01.13-0043</t>
  </si>
  <si>
    <t>Плиты железобетонные: покрытий, перекрытий и днищ</t>
  </si>
  <si>
    <t>ТССЦ-04.3.01.03-0001</t>
  </si>
  <si>
    <t>Раствор асбоцементный</t>
  </si>
  <si>
    <t>ТССЦ-01.7.16.04-0001</t>
  </si>
  <si>
    <t>Металлоконструкции опалубки разборно-переставные</t>
  </si>
  <si>
    <t>ООО "ГИС-КРЫМ" Ч.3 стр.148 п.1</t>
  </si>
  <si>
    <t>Ж/б днище ПН10 ФУТ    Цена=9755</t>
  </si>
  <si>
    <t>ООО "ГИС-КРЫМ" Ч.3 стр.148 п.3</t>
  </si>
  <si>
    <t>Ж/б кольца рабочей части КС10.6 ФУТ    Цена=15710</t>
  </si>
  <si>
    <t>ООО "ГИС-КРЫМ" Ч.3 стр.148 п.4</t>
  </si>
  <si>
    <t>Ж/б кольца рабочей части КС10.9 ФУТ    Цена=19010</t>
  </si>
  <si>
    <t>ООО "ГИС-КРЫМ" Ч.3 стр.148 п.7</t>
  </si>
  <si>
    <t>Ж/б плита перекрытия ПП10-1 ФУТ    Цена=9755</t>
  </si>
  <si>
    <t>Ж/б плита перекрытия ПП10-2 ФУТ    Цена=9755</t>
  </si>
  <si>
    <t>ООО "ГИС-КРЫМ" Ч.3 стр.154 п.16</t>
  </si>
  <si>
    <t>Горловина КС7-3 ФУТ    Цена=8397</t>
  </si>
  <si>
    <t>ТССЦ-05.1.01.09-0042</t>
  </si>
  <si>
    <t>Кольцо опорное КО-6 /бетон В15 (М200), объем 0,02 м3, расход арматуры 1,10 кг / (серия 3.900.1-14)</t>
  </si>
  <si>
    <t>ТЕР23-03-001-05</t>
  </si>
  <si>
    <t>Устройство круглых сборных железобетонных канализационных колодцев диаметром: 1,5 м в сухих грунтах</t>
  </si>
  <si>
    <t>ООО "ГИС-КРЫМ" Ч.3 стр.148 п.2</t>
  </si>
  <si>
    <t>ООО "ГИС-КРЫМ" Ч.3 стр.148 п.5</t>
  </si>
  <si>
    <t>ООО "ГИС-КРЫМ" Ч.3 стр.148 п.6</t>
  </si>
  <si>
    <t>ООО "ГИС-КРЫМ" Ч.3 стр.148 п.8</t>
  </si>
  <si>
    <t>ТССЦ-08.1.02.06-0041</t>
  </si>
  <si>
    <t>Люки чугунные: легкие</t>
  </si>
  <si>
    <t>ТССЦ-08.1.02.06-0043</t>
  </si>
  <si>
    <t>Люки чугунные: тяжелые</t>
  </si>
  <si>
    <t>КИП ч.3 стр.32 п.18</t>
  </si>
  <si>
    <t>ТССЦ-01.7.11.05-0001</t>
  </si>
  <si>
    <t>Прутки сварочные из винипласта</t>
  </si>
  <si>
    <t>ТЕР08-01-003-07</t>
  </si>
  <si>
    <t>Гидроизоляция боковая обмазочная битумная в 2 слоя по выровненной поверхности бутовой кладки, кирпичу, бетону</t>
  </si>
  <si>
    <t>ЛС 06-01-03 Поз.: 1-126</t>
  </si>
  <si>
    <t>ТЕР01-01-033-05</t>
  </si>
  <si>
    <t>Засыпка траншей и котлованов с перемещением грунта до 5 м бульдозерами мощностью: 79 кВт (108 л.с.), группа грунтов 2</t>
  </si>
  <si>
    <t>ТЕР22-04-001-01</t>
  </si>
  <si>
    <t>Устройство круглых колодцев из сборного железобетона в грунтах: сухих</t>
  </si>
  <si>
    <t>ТССЦ-02.2.05.04-0042</t>
  </si>
  <si>
    <t>Щебень из гравия для строительных работ марка 400, фракция 10-20 мм</t>
  </si>
  <si>
    <t>ООО "ГИС-КРЫМ" Ч.3 стр.153 п.3</t>
  </si>
  <si>
    <t>ООО "ГИС-КРЫМ" Ч.3 стр.153 п.9</t>
  </si>
  <si>
    <t>ООО "ГИС-КРЫМ" Ч.3 стр.153 п.10</t>
  </si>
  <si>
    <t>ООО "ГИС-КРЫМ" Ч.3 стр.154 п.14</t>
  </si>
  <si>
    <t>Ж/б кольцо горловины КС7.3 ФУТ    Цена=8397</t>
  </si>
  <si>
    <t>ТЕР01-01-003-15</t>
  </si>
  <si>
    <t>Разработка грунта в отвал экскаваторами "драглайн" или "обратная лопата" с ковшом вместимостью: 0,5 (0,5-0,63) м3, группа грунтов 3</t>
  </si>
  <si>
    <t>ООО "ГИС-КРЫМ" Ч.3 стр.153 п.4</t>
  </si>
  <si>
    <t>Ж/б днище ПН25 ФУТ    Цена=81523</t>
  </si>
  <si>
    <t>ООО "ГИС-КРЫМ" Ч.3 стр.153 п.11</t>
  </si>
  <si>
    <t>Ж/б кольца рабочей части КС25.6 ФУТ    Цена=61946</t>
  </si>
  <si>
    <t>ООО "ГИС-КРЫМ" Ч.3 стр.154 п.15</t>
  </si>
  <si>
    <t>Ж/б плита перекрытия 1ПП25-2 ФУТ    Цена=81523</t>
  </si>
  <si>
    <t>ООО "ГИС-КРЫМ"  Ч.3 стр.153 п.2</t>
  </si>
  <si>
    <t>ООО "ГИС-КРЫМ" Ч.3 стр.153 п.7</t>
  </si>
  <si>
    <t>ООО "ГИС-КРЫМ" Ч.3 стр.153 п.8</t>
  </si>
  <si>
    <t>ООО "ГИС-КРЫМ" Ч.3 стр.154 п.13</t>
  </si>
  <si>
    <t>ООО "ГИС-КРЫМ" ч.3 стр.148 п.1</t>
  </si>
  <si>
    <t>ООО "ГИС-КРЫМ" ч.3 стр.148 п.3</t>
  </si>
  <si>
    <t>ООО "ГИС-КРЫМ" ч.3 стр.148 п.7</t>
  </si>
  <si>
    <t>ООО "ГИС-КРЫМ" ч.3 стр.154 п.16</t>
  </si>
  <si>
    <t>Устройство бетонной подготовки (для упоров труб на поворотах)</t>
  </si>
  <si>
    <t>ТЕР01-01-033-04</t>
  </si>
  <si>
    <t>Засыпка траншей и котлованов с перемещением грунта до 5 м бульдозерами мощностью: 79 кВт (108 л.с.), группа грунтов 1(Обратная засыпка траншеи песком над трубой )</t>
  </si>
  <si>
    <t>ТЕР22-01-021-03</t>
  </si>
  <si>
    <t>Укладка трубопроводов из полиэтиленовых труб диаметром: 110 мм</t>
  </si>
  <si>
    <t>ТССЦ-24.3.03.13-0025</t>
  </si>
  <si>
    <t>Труба напорная из полиэтилена PE 100 питьевая: ПЭ100 SDR13,6, размером 75х5,6 мм (ГОСТ 18599-2001, ГОСТ Р 52134-2003)</t>
  </si>
  <si>
    <t>ПК "Восток" Ч.3 стр.79</t>
  </si>
  <si>
    <t>Муфта электросварная ПЭ 100 SDR 11 Ø75    Цена=623,2</t>
  </si>
  <si>
    <t>ГК Промбаза Ч.3 стр.43</t>
  </si>
  <si>
    <t>Инженерные Системы НеоГрупп Ч.3 стр.40</t>
  </si>
  <si>
    <t>ПК "Восток" Ч.3 стр.83</t>
  </si>
  <si>
    <t>ГК Трубные системы Ч.3 стр.59</t>
  </si>
  <si>
    <t>ТЕР22-03-002-02</t>
  </si>
  <si>
    <t>Установка полиэтиленовых фасонных частей: тройников</t>
  </si>
  <si>
    <t>NORD Energy Ч.3 стр.89</t>
  </si>
  <si>
    <t>ТЕР22-03-006-02</t>
  </si>
  <si>
    <t>Установка задвижек или клапанов обратных чугунных диаметром: 80 мм</t>
  </si>
  <si>
    <t>ТССЦ-18.1.02.01-0202</t>
  </si>
  <si>
    <t>Задвижки параллельные фланцевые с выдвижным шпинделем для воды и пара давлением 1 Мпа (10 кгс/см2) 30ч6бр диаметром: 80 мм</t>
  </si>
  <si>
    <t>ТССЦ-18.1.04.03-0048</t>
  </si>
  <si>
    <t>Клапаны обратные BROEN V287 чугунные, с фланцевым присоединением, давлением 1,6 МПа (16 кгс/см2), диаметром: 80 мм</t>
  </si>
  <si>
    <t>ТССЦ-18.2.08.09-0058</t>
  </si>
  <si>
    <t>Фильтры фланцевые FVF чугунные сетчатые, со сливной пробкой, давлением: 1,6 МПа (16 кгс/см2), диаметром 80 мм</t>
  </si>
  <si>
    <t>ТЕР24-01-033-01</t>
  </si>
  <si>
    <t>Установка вентилей и клапанов обратных муфтовых диаметром 20 мм</t>
  </si>
  <si>
    <t>ТССЦ-18.1.10.01-0032</t>
  </si>
  <si>
    <t>Вентили проходные муфтовые: 15КЧ18Р для воды, давлением 1,6 МПа (16 кгс/см2), диаметром 20 мм</t>
  </si>
  <si>
    <t>ТЕР22-06-001-02</t>
  </si>
  <si>
    <t>Промывка с дезинфекцией трубопроводов диаметром: 75-80 мм</t>
  </si>
  <si>
    <t>ТЕР22-01-021-02</t>
  </si>
  <si>
    <t>Укладка трубопроводов из полиэтиленовых труб диаметром: 63 мм</t>
  </si>
  <si>
    <t>ТССЦ-24.3.03.13-0024</t>
  </si>
  <si>
    <t>Труба напорная из полиэтилена PE 100 питьевая: ПЭ100 SDR13,6, размером 63х4,7 мм (ГОСТ 18599-2001, ГОСТ Р 52134-2003)</t>
  </si>
  <si>
    <t>ПК "Восток" Ч.3 стр.78</t>
  </si>
  <si>
    <t>ТССЦ-24.3.05.01-0041</t>
  </si>
  <si>
    <t>Втулка полиэтиленовая с удлиненным хвостовиком под фланец SDR 11, диаметр: 63 мм (ТУ2248-001-18425183-01)</t>
  </si>
  <si>
    <t>Инженерные Системы НеоГрупп Ч.3 стр.39</t>
  </si>
  <si>
    <t>ПК "Восток" Ч.3 стр.82</t>
  </si>
  <si>
    <t>ТССЦ-24.3.05.13-0024</t>
  </si>
  <si>
    <t>Седелка полимерная сборно-разборная с резьбовым отводом, диаметром: 63x3/4"</t>
  </si>
  <si>
    <t>ТССЦ-18.5.08.07-0063</t>
  </si>
  <si>
    <t>Ниппель универсальный ИГЛ БИР ПЕКС (Eagle BP), размером: 3/4"</t>
  </si>
  <si>
    <t>Завод полимерных изделий Ч.4 стр.134</t>
  </si>
  <si>
    <t>ТЕРм11-02-022-04</t>
  </si>
  <si>
    <t>Ротаметр, счетчик, преобразователь, устанавливаемые на фланцевых соединениях, диаметр условного прохода: до 50 мм</t>
  </si>
  <si>
    <t>ООО "Калипсо" Ч.3 стр.62</t>
  </si>
  <si>
    <t>ТССЦ-23.8.03.09-0428</t>
  </si>
  <si>
    <t>Фланцы стальные плоские приварные из стали 12Х18Н9Т, давлением: 1,6 МПа (16 кгс/см2), диаметром 50 мм</t>
  </si>
  <si>
    <t>ТЕР22-06-001-01</t>
  </si>
  <si>
    <t>Промывка с дезинфекцией трубопроводов диаметром: 50-65 мм</t>
  </si>
  <si>
    <t>Устройство основания под трубопроводы: песчаного (подготовка и защитный слой)</t>
  </si>
  <si>
    <t>ТССЦ-24.3.03.13-0027</t>
  </si>
  <si>
    <t>Труба напорная из полиэтилена PE 100 питьевая: ПЭ100 SDR13,6, размером 110х8,1 мм (ГОСТ 18599-2001, ГОСТ Р 52134-2003)</t>
  </si>
  <si>
    <t>ТЕР22-06-001-03</t>
  </si>
  <si>
    <t>Промывка с дезинфекцией трубопроводов диаметром: 100 мм</t>
  </si>
  <si>
    <t>КИП Ч.3 стр.49 п.23</t>
  </si>
  <si>
    <t>КИП Ч.3 стр.49 п.22</t>
  </si>
  <si>
    <t>ТЕР24-02-001-02</t>
  </si>
  <si>
    <t>Сварка &lt;встык&gt; полиэтиленовых труб нагревательным элементом при ручном управлении процессом сварки, диаметр труб свыше 63 до 110 мм (прим. заделка муфты с применением сварки)</t>
  </si>
  <si>
    <t>Установка фасонных частей стальных сварных диаметром: 100-250 мм  (прим. установка пожарной подставки под гидрант)</t>
  </si>
  <si>
    <t>МетПромКо Ч.3 стр.86</t>
  </si>
  <si>
    <t>ТЕР22-03-011-03</t>
  </si>
  <si>
    <t>Установка: гидрантов пожарных</t>
  </si>
  <si>
    <t>ТССЦ-18.3.01.02-0013</t>
  </si>
  <si>
    <t>Рукава пожарные: "УНИВЕРСАЛ", диаметром 66 мм</t>
  </si>
  <si>
    <t>ТССЦ-18.3.01.01-0042</t>
  </si>
  <si>
    <t>Головки для пожарных рукавов соединительные напорные, давлением 1,2 МПа (12 кгс/см2) рукавные, диаметром: 70 мм</t>
  </si>
  <si>
    <t>ТССЦ-23.8.05.07-0001</t>
  </si>
  <si>
    <t>Патрубок фланец-гладкий конец из высокопрочного чугуна (с внутренним цементно-песчаным покрытием и наружным лаковым покрытием) ПФГ диам.: 100 мм, длиной 350 мм</t>
  </si>
  <si>
    <t>ТЕР22-03-011-04</t>
  </si>
  <si>
    <t>Установка: колонок водоразборных</t>
  </si>
  <si>
    <t>ТЕР22-03-014-02</t>
  </si>
  <si>
    <t>Приварка фланцев к стальным трубопроводам диаметром: 80 мм</t>
  </si>
  <si>
    <t>ТССЦ-23.8.03.11-0619</t>
  </si>
  <si>
    <t>Фланцы стальные плоские приварные из стали ВСт3сп2, ВСт3сп3, давлением: 0,1 и 0,25 МПа (1 и 2,5 кгс/см2), диаметром 80 мм</t>
  </si>
  <si>
    <t>ТССЦ-23.8.04.08-0062</t>
  </si>
  <si>
    <t>Переходы концентрические на Ру до 16 МПа (160 кгс/см2) диаметром условного прохода: 80х50 мм, наружным диаметром и толщиной стенки 89х6- 57х4 мм</t>
  </si>
  <si>
    <t>ТССЦ-23.5.01.01-0046</t>
  </si>
  <si>
    <t>Трубы стальные сварные для магистральных газонефтепроводов наружным диаметром: 426 мм толщина стенок 5 мм (гильзы 13шт, L=500мм, вес 1мп-51,91кг)</t>
  </si>
  <si>
    <t>ТЕР22-01-021-05</t>
  </si>
  <si>
    <t>Укладка трубопроводов из полиэтиленовых труб диаметром: 160 мм</t>
  </si>
  <si>
    <t>ТССЦ-24.3.03.13-0030</t>
  </si>
  <si>
    <t>Труба напорная из полиэтилена PE 100 питьевая: ПЭ100 SDR13,6, размером 160х11,8 мм (ГОСТ 18599-2001, ГОСТ Р 52134-2003)</t>
  </si>
  <si>
    <t>ПК "Восток" Ч.3 стр.77</t>
  </si>
  <si>
    <t>ТССЦ-24.3.05.01-0043</t>
  </si>
  <si>
    <t>Втулка полиэтиленовая с удлиненным хвостовиком под фланец SDR 11, диаметр: 160 мм (ТУ2248-001-18425183-01)</t>
  </si>
  <si>
    <t>СантехКомплект Ч.3 стр.38</t>
  </si>
  <si>
    <t>ПК "Восток" Ч.3 стр.81</t>
  </si>
  <si>
    <t>ТЕР22-03-014-05</t>
  </si>
  <si>
    <t>Приварка фланцев к стальным трубопроводам диаметром: 150 мм</t>
  </si>
  <si>
    <t>ТССЦ-23.8.03.11-0622</t>
  </si>
  <si>
    <t>Фланцы стальные плоские приварные из стали ВСт3сп2, ВСт3сп3, давлением: 0,1 и 0,25 МПа (1 и 2,5 кгс/см2), диаметром 150 мм</t>
  </si>
  <si>
    <t>ТЕР22-03-006-05</t>
  </si>
  <si>
    <t>Установка задвижек или клапанов обратных чугунных диаметром: 150 мм</t>
  </si>
  <si>
    <t>ТССЦ-18.1.02.01-0205</t>
  </si>
  <si>
    <t>Задвижки параллельные фланцевые с выдвижным шпинделем для воды и пара давлением 1 Мпа (10 кгс/см2) 30ч6бр диаметром: 150 мм</t>
  </si>
  <si>
    <t>ТЕР22-06-001-05</t>
  </si>
  <si>
    <t>Промывка с дезинфекцией трубопроводов диаметром: 150 мм</t>
  </si>
  <si>
    <t>ТЕР01-01-013-15</t>
  </si>
  <si>
    <t>Разработка грунта с погрузкой на автомобили-самосвалы экскаваторами с ковшом вместимостью: 0,5 (0,5-0,63) м3, группа грунтов 3</t>
  </si>
  <si>
    <t>ТЕР22-01-021-09</t>
  </si>
  <si>
    <t>Укладка трубопроводов из полиэтиленовых труб диаметром: 350 мм (футляр)</t>
  </si>
  <si>
    <t>ТССЦ-24.3.03.13-0037</t>
  </si>
  <si>
    <t>Труба напорная из полиэтилена PE 100 питьевая: ПЭ100 SDR13,6, размером 355х26,1 мм (ГОСТ 18599-2001, ГОСТ Р 52134-2003)</t>
  </si>
  <si>
    <t>ТЕР22-05-005-01</t>
  </si>
  <si>
    <t>Протаскивание в футляр полиэтиленовых труб диаметром: 110 мм</t>
  </si>
  <si>
    <t>100 м трубы</t>
  </si>
  <si>
    <t>ЦентрТрубПласт Ч.3 стр.76</t>
  </si>
  <si>
    <t>ТССЦ-24.3.05.01-0042</t>
  </si>
  <si>
    <t>Втулка полиэтиленовая с удлиненным хвостовиком под фланец SDR 11, диаметр: 110 мм (ТУ2248-001-18425183-01)</t>
  </si>
  <si>
    <t>ЦентрТрубПласт Ч.3 стр.91</t>
  </si>
  <si>
    <t>ПК "Восток" Ч.3 стр.80</t>
  </si>
  <si>
    <t>Завод полимерных изделий Ч.4 стр.133</t>
  </si>
  <si>
    <t>ТЕР22-03-014-03</t>
  </si>
  <si>
    <t>Приварка фланцев к стальным трубопроводам диаметром: 100 мм</t>
  </si>
  <si>
    <t>ТССЦ-23.8.03.11-0620</t>
  </si>
  <si>
    <t>Фланцы стальные плоские приварные из стали ВСт3сп2, ВСт3сп3, давлением: 0,1 и 0,25 МПа (1 и 2,5 кгс/см2), диаметром 100 мм</t>
  </si>
  <si>
    <t>ТЕР22-03-006-03</t>
  </si>
  <si>
    <t>Установка задвижек или клапанов обратных чугунных диаметром: 100 мм</t>
  </si>
  <si>
    <t>ТССЦ-18.1.02.01-0203</t>
  </si>
  <si>
    <t>Задвижки параллельные фланцевые с выдвижным шпинделем для воды и пара давлением 1 Мпа (10 кгс/см2) 30ч6бр диаметром: 100 мм</t>
  </si>
  <si>
    <t>КИП Ч.3 стр.17 п.20</t>
  </si>
  <si>
    <t>ТЕР24-02-001-03</t>
  </si>
  <si>
    <t>Сварка &lt;встык&gt; полиэтиленовых труб нагревательным элементом при ручном управлении процессом сварки, диаметр труб свыше 110 до 160 мм</t>
  </si>
  <si>
    <t>ООО "БК-Арматура" Ч.3 стр.30</t>
  </si>
  <si>
    <t>ТЕР22-04-003-03</t>
  </si>
  <si>
    <t>Устройство водопроводных бетонных колодцев с монолитными стенами и покрытием из сборного железобетона: прямоугольных в сухих грунтах</t>
  </si>
  <si>
    <t>ТССЦ-07.5.01.02-0041</t>
  </si>
  <si>
    <t>Лестницы приставные и прислоненные с ограждениями</t>
  </si>
  <si>
    <t>ЛС 06-01-04 Поз.: 3-15.1</t>
  </si>
  <si>
    <t>ТЕР01-03-031-04</t>
  </si>
  <si>
    <t>Засыпка траншей и котлованов с перемещением грунта до 5 м бульдозерами мощностью: 79 кВт (108 л.с.), группа грунтов 1 м (засыпка песком)</t>
  </si>
  <si>
    <t>ТЕР01-02-061-01</t>
  </si>
  <si>
    <t>Засыпка вручную траншей, пазух котлованов и ям, группа грунтов: 1</t>
  </si>
  <si>
    <t>ТЕР11-01-002-01</t>
  </si>
  <si>
    <t>Устройство подстилающих слоев: песчаных</t>
  </si>
  <si>
    <t>ТЕРм37-01-001-08</t>
  </si>
  <si>
    <t>Монтаж сосудов и аппаратов без механизмов на открытой площадке, масса сосудов и аппаратов 3 т</t>
  </si>
  <si>
    <t>Ч.3 стр.118 п.1 ООО"ГидроПромИнжиниринг"</t>
  </si>
  <si>
    <t>Резервуар противопожарного запаса воды  V=50м3 в комплекте с удерживающими ремнями Цена=918000</t>
  </si>
  <si>
    <t>ТЕРм37-02-040-01</t>
  </si>
  <si>
    <t>Закрепление расчалок (оттяжек) длиной до 50 м внизу, диаметр каната до 12,0 мм</t>
  </si>
  <si>
    <t>ТЕР06-01-071-01</t>
  </si>
  <si>
    <t>Испытание емкостей на водонепроницаемость</t>
  </si>
  <si>
    <t>ТССЦ-03.2.02.08-0002</t>
  </si>
  <si>
    <t>Цемент расширяющийся</t>
  </si>
  <si>
    <t>ЛС 06-01-05 Поз.: 3-21</t>
  </si>
  <si>
    <t>ТЕР06-01-024-04</t>
  </si>
  <si>
    <t>Устройство стен подвалов и подпорных стен железобетонных высотой: до 3 м, толщиной до 500 мм</t>
  </si>
  <si>
    <t>ТССЦ-08.4.03.03-0006</t>
  </si>
  <si>
    <t>Горячекатанная арматурная сталь класса А500 С, диаметром: 16 мм</t>
  </si>
  <si>
    <t>ТССЦ-23.3.05.01-0054</t>
  </si>
  <si>
    <t>Трубы бесшовные холоднодеформированные из коррозионностойкой стали марки 12Х18Н10Т(8443) наружным диаметром: 250 мм, толщиной стенки 7,0 мм (гильзы)</t>
  </si>
  <si>
    <t>ТЕР06-01-041-01</t>
  </si>
  <si>
    <t>Устройство перекрытий безбалочных толщиной: до 200 мм на высоте от опорной площади до 6 м</t>
  </si>
  <si>
    <t>ТССЦ-08.4.03.02-0003</t>
  </si>
  <si>
    <t>Горячекатаная арматурная сталь гладкая класса А-I, диаметром: 10 мм</t>
  </si>
  <si>
    <t>ТЕР06-01-015-08</t>
  </si>
  <si>
    <t>Установка закладных деталей весом: до 20 кг</t>
  </si>
  <si>
    <t>ТЕР09-06-001-01</t>
  </si>
  <si>
    <t>Монтаж: конструкций дверей, люков, лазов для автокоптилок и пароварочных камер</t>
  </si>
  <si>
    <t>ТЕР13-03-004-26</t>
  </si>
  <si>
    <t>Окраска металлических огрунтованных поверхностей: эмалью ПФ-115</t>
  </si>
  <si>
    <t>ТЕР22-01-012-07</t>
  </si>
  <si>
    <t>Укладка стальных водопроводных труб с пневматическим испытанием диаметром: 250 мм</t>
  </si>
  <si>
    <t>ТСЭМ-91.18.01-007</t>
  </si>
  <si>
    <t>Компрессоры передвижные с двигателем внутреннего сгорания, давлением до 686 кПа (7 ат), производительность до 5 м3/мин</t>
  </si>
  <si>
    <t>маш.-ч</t>
  </si>
  <si>
    <t>ТССЦ-23.3.03.02-0162</t>
  </si>
  <si>
    <t>Трубы стальные бесшовные, горячедеформированные со снятой фаской из стали марок 15, 20, 25, наружным диаметром: 273 мм, толщина стенки 7 мм</t>
  </si>
  <si>
    <t>ТЕРм37-01-001-09</t>
  </si>
  <si>
    <t>Монтаж сосудов и аппаратов без механизмов на открытой площадке, масса сосудов и аппаратов 5 т</t>
  </si>
  <si>
    <t>ООО "КубаньСтройСнаб" Ч.3 стр.97</t>
  </si>
  <si>
    <t>Пожарная насосная станция подземная ПНС: Материал корпуса - стеклопластик. Габаритные размеры: Ø3200 мм, Н=5000 мм</t>
  </si>
  <si>
    <t>ТЕР46-03-013-01</t>
  </si>
  <si>
    <t>Сверление вертикальных отверстий в бетонных конструкциях полов перфоратором глубиной 200 мм диаметром: 20 мм</t>
  </si>
  <si>
    <t>ТЕР46-03-013-14</t>
  </si>
  <si>
    <t>На каждые 10 мм изменения глубины сверления добавлять или исключать: к расценке 46-03-013-01</t>
  </si>
  <si>
    <t>Установка анкерных болтов: в готовые гнезда с заделкой длиной до 1 м (48шт*0,1035кг=5кг)</t>
  </si>
  <si>
    <t>ЛС 06-01-06 Поз.: 5-44</t>
  </si>
  <si>
    <t>Засыпка траншей и котлованов с перемещением грунта до 5 м бульдозерами мощностью: 79 кВт (108 л.с.), группа грунтов 1 м (песком)</t>
  </si>
  <si>
    <t>Засыпка вручную траншей, пазух котлованов и ям, группа грунтов: 1 (песком)</t>
  </si>
  <si>
    <t>Ч.3 стр.117 ООО "ГидроПромИнжиниринг"</t>
  </si>
  <si>
    <t>Резервуар V=105 м3  в комплекте с удерживающими ремнями</t>
  </si>
  <si>
    <t>Монтаж сосудов и аппаратов без механизмов на открытой площадке, масса сосудов и аппаратов 3 т (Колодец механической очистки: диаметр 1000мм)</t>
  </si>
  <si>
    <t>Установка анкерных болтов: в готовые гнезда с заделкой длиной до 1 м(16шт*0,1035кг=1,7кг)</t>
  </si>
  <si>
    <t>Монтаж сосудов и аппаратов без механизмов на открытой площадке, масса сосудов и аппаратов 3 т (блок глубокой биологической очистки: диаметр 1800мм, L=10м)</t>
  </si>
  <si>
    <t>Ч.3 стр.112 ООО "Поток"</t>
  </si>
  <si>
    <t>Локальные очистные сооружения в комплекте: (стоимость указана с учетом доставки и пуско-наладочных работ) в составе: Колодец механической очистки (диаметр 1м)-1 шт; Блок глубокой биологической очистки (диаметр 1,8м, L=10м -1 шт.; Колодец УФ-обеззараживания (диаметр1,5м, в комплекте с лампами ОДВС-2С-0.7 (1раб/1рез)-1 шт.; Компрессор Hiblow HP-150 (2рб/1рез)-3 шт.; Шкаф управления-1 шт.</t>
  </si>
  <si>
    <t>Монтаж сосудов и аппаратов без механизмов на открытой площадке, масса сосудов и аппаратов 3 т (колодец диаметр 1500мм)</t>
  </si>
  <si>
    <t>ЛС 06-01-07 Поз.: 1-23.1</t>
  </si>
  <si>
    <t>ТЕР01-01-003-09</t>
  </si>
  <si>
    <t>Разработка грунта в отвал экскаваторами "драглайн" или "обратная лопата" с ковшом вместимостью: 0,65 (0,5-1) м3, группа грунтов 3</t>
  </si>
  <si>
    <t>Устройство основания под трубопроводы: песчаного (основание, обсыпка, защитный слой)</t>
  </si>
  <si>
    <t>ТССЦ-02.3.01.05-0001</t>
  </si>
  <si>
    <t>Песок для строительных работ из отсевов дробления, марка: 400 мелкий</t>
  </si>
  <si>
    <t>ТЕР07-06-001-01</t>
  </si>
  <si>
    <t>Устройство непроходных каналов: одноячейковых, перекрываемых или опирающихся на плиту</t>
  </si>
  <si>
    <t>ТССЦ-04.3.01.09-0014</t>
  </si>
  <si>
    <t>Раствор готовый кладочный цементный марки: 100</t>
  </si>
  <si>
    <t>ООО "Блок" Ч.1 стр.50</t>
  </si>
  <si>
    <t>Дельта Трейд Ч.1 стр.52</t>
  </si>
  <si>
    <t>ТЕР06-01-062-03</t>
  </si>
  <si>
    <t>Устройство стен и плоских днищ при толщине: до 150 мм прямоугольных сооружений</t>
  </si>
  <si>
    <t>ТЕР26-01-011-02</t>
  </si>
  <si>
    <t>Изоляция фасонных поверхностей матами минераловатными прошивными безобкладочными и в обкладках, плитами минераловатными на синтетическом связующем, плитами из стеклянного штапельного волокна</t>
  </si>
  <si>
    <t>Ижорастройком Ч.1 стр.45</t>
  </si>
  <si>
    <t>ТЕР08-01-003-05</t>
  </si>
  <si>
    <t>Гидроизоляция стен, фундаментов: боковая оклеечная по выровненной поверхности бутовой кладки, кирпичу и бетону в 2 слоя</t>
  </si>
  <si>
    <t>ТССЦ-12.1.02.15-0021</t>
  </si>
  <si>
    <t>Гидростеклоизол</t>
  </si>
  <si>
    <t>ТЕР24-01-008-01</t>
  </si>
  <si>
    <t>Прокладка стальных трубопроводов в непроходном канале в изоляции из пенополиуретана (ППУ) с изоляцией стыков скорлупами при номинальном давлении 1,6 МПа, температуре 150°С, диаметр труб 50 мм</t>
  </si>
  <si>
    <t>ТССЦ-07.2.07.11-0002</t>
  </si>
  <si>
    <t>Опоры неподвижные из горячекатаных профилей для трубопроводов</t>
  </si>
  <si>
    <t>ТССЦ-12.2.03.06-0001</t>
  </si>
  <si>
    <t>Пластина замковая из полиэтилена</t>
  </si>
  <si>
    <t>Metall100.RU Ч.1 стр.63</t>
  </si>
  <si>
    <t>ПолиСтрой Ч.1 стр.78</t>
  </si>
  <si>
    <t>ИнжПласт Ч.1 стр.39</t>
  </si>
  <si>
    <t>Комплект заделки стыка 57х3,0-ППУ-ПЭ Ц=1494,9</t>
  </si>
  <si>
    <t>ТЕР24-01-008-03</t>
  </si>
  <si>
    <t>Прокладка стальных трубопроводов в непроходном канале в изоляции из пенополиуретана (ППУ) с изоляцией стыков скорлупами при номинальном давлении 1,6 МПа, температуре 150°С, диаметр труб 80 мм</t>
  </si>
  <si>
    <t>Metall100.RU Ч.1 стр.62</t>
  </si>
  <si>
    <t>ПолиСтрой Ч.1 стр.77</t>
  </si>
  <si>
    <t>ИнжПласт Ч.1 стр.38</t>
  </si>
  <si>
    <t>Единая Трубная Компания Ч.1 стр.75</t>
  </si>
  <si>
    <t>МС Групп Ч.1 стр.65</t>
  </si>
  <si>
    <t>Metall100.RU Ч.1 стр.68</t>
  </si>
  <si>
    <t>МетИнвестСервис Ч.1 стр.48</t>
  </si>
  <si>
    <t>Трубное Решение Ч.1 стр.41</t>
  </si>
  <si>
    <t>ТЕР24-01-002-03</t>
  </si>
  <si>
    <t>Прокладка стальных трубопроводов в непроходном канале при номинальном давлении 1,6 МПа, температуре 150°С, диаметр труб 80 мм</t>
  </si>
  <si>
    <t>ТССЦ-23.5.02.02-0050</t>
  </si>
  <si>
    <t>Трубы стальные электросварные прямошовные со снятой фаской из стали марок БСт2кп-БСт4кп и БСт2пс-БСт4пс наружный диаметр: 89 мм, толщина стенки 4,0 мм</t>
  </si>
  <si>
    <t>ТССЦ-23.8.04.06-0251</t>
  </si>
  <si>
    <t>Отводы крутоизогнутые бесшовные приварные из стали марок 20 и 09Г2С (ОСТ 34-10.699-97): 90 град., наружным диаметром 89 мм, толщиной стенки 3,5 мм</t>
  </si>
  <si>
    <t>ТЕР26-01-002-01</t>
  </si>
  <si>
    <t>Изоляция трубопроводов цилиндрами, полуцилиндрами и сегментами из пенопласта, номинальный диаметр трубопровода до 350 мм</t>
  </si>
  <si>
    <t>Ст-Ком Ч.1 стр.69</t>
  </si>
  <si>
    <t>ТЕР22-01-011-07</t>
  </si>
  <si>
    <t>Укладка стальных водопроводных труб с гидравлическим испытанием диаметром: 250 мм (футляр)</t>
  </si>
  <si>
    <t>Тепловатт Ч.1 стр.81</t>
  </si>
  <si>
    <t>ТЕР22-05-004-01</t>
  </si>
  <si>
    <t>Заделка битумом и прядью концов футляра диаметром: 400 мм</t>
  </si>
  <si>
    <t>футляр</t>
  </si>
  <si>
    <t>Единая Трубная Компания Ч.1 стр.94</t>
  </si>
  <si>
    <t>ТССЦ-05.1.01.11-0045</t>
  </si>
  <si>
    <t>Плита днища: ПН15 /бетон В15 (М200), объем 0,38 м3, расход арматуры 33,13 кг / (серия 3.900.1-14)</t>
  </si>
  <si>
    <t>ТССЦ-05.1.01.09-0065</t>
  </si>
  <si>
    <t>Кольцо стеновое смотровых колодцев: КС15.9 /бетон В15 (М200), объем 0,40 м3, расход арматуры 7,02 кг/ (серия 3.900.1-14)</t>
  </si>
  <si>
    <t>ТССЦ-05.1.01.09-0063</t>
  </si>
  <si>
    <t>Кольцо стеновое смотровых колодцев: КС15.6 /бетон В15 (М200), объем 0,265 м3, расход арматуры 4,94 кг/ (серия 3.900.1-14)</t>
  </si>
  <si>
    <t>ТССЦ-05.1.06.09-0002</t>
  </si>
  <si>
    <t>Плита перекрытия: 1ПП15-1 /бетон В15 (М200), объем 0,27 м3, расход арматуры 30 кг/ (серия 3.900.1-14)</t>
  </si>
  <si>
    <t>ТССЦ-05.1.01.09-0051</t>
  </si>
  <si>
    <t>Кольцо стеновое смотровых колодцев: КС7.3 /бетон В15 (М200), объем 0,05 м3, расход арматуры 1,64 кг/ (серия 3.900.1-14)</t>
  </si>
  <si>
    <t>ТССЦ-01.7.15.10-0067</t>
  </si>
  <si>
    <t>Скобы: ходовые</t>
  </si>
  <si>
    <t>ТССЦ-08.1.02.06-0031</t>
  </si>
  <si>
    <t>Люк чугунный тяжелый (ГОСТ 3634-99) марка Т(С250)-В-1- 60</t>
  </si>
  <si>
    <t>ТССЦ-12.1.02.03-0195</t>
  </si>
  <si>
    <t>Техноэласт: ЭПП</t>
  </si>
  <si>
    <t>ТССЦ-05.1.01.11-0044</t>
  </si>
  <si>
    <t>Плита днища: ПН10 /бетон В15 (М200), объем 0,18 м3, расход арматуры 15,14 кг / (серия 3.900.1-14)</t>
  </si>
  <si>
    <t>ТССЦ-05.1.01.09-0056</t>
  </si>
  <si>
    <t>Кольцо стеновое смотровых колодцев: КС10.9 /бетон В15 (М200), объем 0,24 м3, расход арматуры 5,66 кг/ (серия 3.900.1-14)</t>
  </si>
  <si>
    <t>ТССЦ-05.1.01.09-0055</t>
  </si>
  <si>
    <t>Кольцо стеновое смотровых колодцев: КС10.6 /бетон В15 (М200), объем 0,16 м3, расход арматуры 3,95 кг/ (серия 3.900.1-14)</t>
  </si>
  <si>
    <t>ТССЦ-05.1.06.09-0087</t>
  </si>
  <si>
    <t>Плита перекрытия: ПП10-1 /бетон В15 (М200), объем 0,10 м3, расход арматуры 8,38 кг/ (серия 3.900.1-14)</t>
  </si>
  <si>
    <t>ЛС 07-01-01 Поз.: 3-32.5</t>
  </si>
  <si>
    <t>ТЕР01-02-001-01</t>
  </si>
  <si>
    <t>Уплотнение грунта прицепными катками на пневмоколесном ходу 25 т на первый проход по одному следу при толщине слоя: 25 см</t>
  </si>
  <si>
    <t>ТЕР01-02-003-19</t>
  </si>
  <si>
    <t>ТЕР01-02-006-01</t>
  </si>
  <si>
    <t>Полив водой уплотняемого грунта насыпей</t>
  </si>
  <si>
    <t>ТЕР01-02-027-12</t>
  </si>
  <si>
    <t>Планировка откосов и полотна: насыпей механизированным способом, группа грунтов 2</t>
  </si>
  <si>
    <t>1000 м2</t>
  </si>
  <si>
    <t>ТССЦпг-03-21-01-021</t>
  </si>
  <si>
    <t>Перевозка грузов автомобилями-самосвалами грузоподъемностью 10 т работающих вне карьера на расстояние: I класс груза до 21 км (перевозка плодородного грунта)</t>
  </si>
  <si>
    <t>ТЕР01-02-042-03</t>
  </si>
  <si>
    <t>Укрепление откосов земляных сооружений гидропосевом при работе: "с поля" с транспортированием до 5 км</t>
  </si>
  <si>
    <t>ТССЦ-16.2.02.07-0161</t>
  </si>
  <si>
    <t>Семена газонных трав (смесь)</t>
  </si>
  <si>
    <t>ТССЦ-16.3.02.01-0003</t>
  </si>
  <si>
    <t>Удобрения: минеральное комплексное "Нитрофоска"</t>
  </si>
  <si>
    <t>ТЕР27-04-016-04</t>
  </si>
  <si>
    <t>Устройство прослойки из нетканого синтетического материала (НСМ) в земляном полотне: сплошной</t>
  </si>
  <si>
    <t>Меапласт Ч.4 стр.179</t>
  </si>
  <si>
    <t>ТЕР27-04-001-04</t>
  </si>
  <si>
    <t>Устройство подстилающих и выравнивающих слоев оснований: из щебня</t>
  </si>
  <si>
    <t>ТЕР27-06-035-01</t>
  </si>
  <si>
    <t>Подгрунтовочные работы путем розлива битумной эмульсии с применением автогудронатора</t>
  </si>
  <si>
    <t>ТЕР27-06-020-06</t>
  </si>
  <si>
    <t>Устройство покрытия толщиной 4 см из горячих асфальтобетонных смесей пористых крупнозернистых, плотность каменных материалов: 2,5-2,9 т/м3</t>
  </si>
  <si>
    <t>ТССЦ-04.2.01.02-0012</t>
  </si>
  <si>
    <t>Смеси асфальтобетонные дорожные, аэродромные и асфальтобетон (горячие для пористого асфальтобетона щебеночные и гравийные), марка: II</t>
  </si>
  <si>
    <t>ТССЦ-01.2.01.01-0019</t>
  </si>
  <si>
    <t>Битумы нефтяные дорожные марки: БНД-60/90, БНД 90/130</t>
  </si>
  <si>
    <t>ТЕР27-06-021-06</t>
  </si>
  <si>
    <t>ТЕР27-06-020-01</t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</si>
  <si>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</t>
  </si>
  <si>
    <t>ТССЦ-04.2.01.01-0036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</si>
  <si>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марка: II, тип Б</t>
  </si>
  <si>
    <t>ТЕР27-06-021-01</t>
  </si>
  <si>
    <t>ТЕР27-07-002-01</t>
  </si>
  <si>
    <t>Устройство оснований толщиной 12 см под тротуары из кирпичного или известнякового щебня</t>
  </si>
  <si>
    <t>ТССЦ-02.2.05.04-0088</t>
  </si>
  <si>
    <t>Щебень из природного камня для строительных работ марка: 600, фракция 20-40 мм</t>
  </si>
  <si>
    <t>ТЕР27-07-002-02</t>
  </si>
  <si>
    <t>ТЕР27-07-003-02</t>
  </si>
  <si>
    <t>Устройство бетонных плитных тротуаров с заполнением швов: песком</t>
  </si>
  <si>
    <t>ТССЦ-05.2.02.22-0013</t>
  </si>
  <si>
    <t>Плитка фигурная тротуарная,: серая толщина 80 мм</t>
  </si>
  <si>
    <t>МЖБИ Ч.6 стр.173</t>
  </si>
  <si>
    <t>ТЕР11-01-037-01</t>
  </si>
  <si>
    <t>Устройство покрытий: из релина на клее "Бустилат"</t>
  </si>
  <si>
    <t>ТССЦ-14.1.02.04-0101</t>
  </si>
  <si>
    <t>Клей «Бустилат»</t>
  </si>
  <si>
    <t>Ч.7 стр.227 Пол в доме</t>
  </si>
  <si>
    <t>Puti Sporta Ч.3 стр.9</t>
  </si>
  <si>
    <t>ТЕР27-02-010-02</t>
  </si>
  <si>
    <t>Установка бортовых камней бетонных: при других видах покрытий</t>
  </si>
  <si>
    <t>ТССЦ-05.2.03.03-0032</t>
  </si>
  <si>
    <t>Камни бортовые: БР 100.30.15 /бетон В30 (М400), объем 0,043 м3/ (ГОСТ 6665-91)</t>
  </si>
  <si>
    <t>ТССЦ-04.1.02.05-0006</t>
  </si>
  <si>
    <t>Бетон тяжелый, класс: В15 (М200)</t>
  </si>
  <si>
    <t>ТССЦ-05.2.03.03-0031</t>
  </si>
  <si>
    <t>Камни бортовые: БР 100.20.8 /бетон В22,5 (М300), объем 0,016 м3/ (ГОСТ 6665-91)</t>
  </si>
  <si>
    <t>ТЕР47-01-046-03</t>
  </si>
  <si>
    <t>Подготовка почвы для устройства партерного и обыкновенного газона с внесением растительной земли слоем 15 см: механизированным способом</t>
  </si>
  <si>
    <t>ТЕР47-01-046-05</t>
  </si>
  <si>
    <t>ТЕР47-01-046-06</t>
  </si>
  <si>
    <t>Посев газонов партерных, мавританских и обыкновенных вручную</t>
  </si>
  <si>
    <t>ТЕР47-01-007-16</t>
  </si>
  <si>
    <t>Подготовка стандартных посадочных мест вручную для деревьев и кустарников с квадратным комом земли размером: 1,3x1,3x0,6 м в естественном грунте</t>
  </si>
  <si>
    <t>ТЕР47-01-009-08</t>
  </si>
  <si>
    <t>Посадка деревьев и кустарников с комом земли размером: 1,3x1,3x0,6 м</t>
  </si>
  <si>
    <t>ТССЦ-16.2.02.02-0132</t>
  </si>
  <si>
    <t>Клен остролистный, высота 2,0-3,0 м</t>
  </si>
  <si>
    <t>ТЕР47-01-004-16</t>
  </si>
  <si>
    <t>Подготовка стандартных посадочных мест механизированным способом для деревьев и кустарников с круглым комом земли размером: 0,8x0,6 м в естественном грунте</t>
  </si>
  <si>
    <t>ТЕР47-01-009-04</t>
  </si>
  <si>
    <t>Посадка деревьев и кустарников с комом земли размером: 0,8x0,6 м</t>
  </si>
  <si>
    <t>ТССЦ-16.2.02.02-0052</t>
  </si>
  <si>
    <t>Вяз шершавый, плакучий, высота 0,5-1,0 м</t>
  </si>
  <si>
    <t>ТССЦ-16.2.02.04-0311</t>
  </si>
  <si>
    <t>Скумпия, высота 1,25-1,5 м</t>
  </si>
  <si>
    <t>ТССЦ-16.2.02.04-0382</t>
  </si>
  <si>
    <t>Чубушник (жасмин), высота 1,25-1,5 м</t>
  </si>
  <si>
    <t>ТССЦ-16.2.02.04-0352</t>
  </si>
  <si>
    <t>Спирея (разные виды), высота 1,25-1,5 м</t>
  </si>
  <si>
    <t>ТССЦ-16.2.02.04-0361</t>
  </si>
  <si>
    <t>Форзиция</t>
  </si>
  <si>
    <t>ЛС 07-01-02 Поз.: 1-1.7, 2-2.27</t>
  </si>
  <si>
    <t>Установка металлических столбов высотой до 4 м: на подготовленный бетонный фундамент(диван, скамейка "Львёнок",скамейка "Касатка",скамейка  "Крокодил", скамья, урна)</t>
  </si>
  <si>
    <t>ТССЦ-01.7.15.02-0044</t>
  </si>
  <si>
    <t>Болт анкерный с гайкой, размер: 16,0x180 мм</t>
  </si>
  <si>
    <t>ТССЦ-15.2.03.02-0002</t>
  </si>
  <si>
    <t>Диван на металлических ножках</t>
  </si>
  <si>
    <t>АО "КСИЛ" Ч.3 стр.1 п.4</t>
  </si>
  <si>
    <t>АО "КСИЛ" Ч.3 стр.1 п.5</t>
  </si>
  <si>
    <t>АО "КСИЛ" Ч.3 стр.1 п.6</t>
  </si>
  <si>
    <t>ТССЦ-15.2.03.04-0052</t>
  </si>
  <si>
    <t>Скамья парковая: СК-3, размеры 2000х330х440 мм</t>
  </si>
  <si>
    <t>АО "КСИЛ" Ч.3 стр.2 п.37,38</t>
  </si>
  <si>
    <t>Установка металлических столбов высотой до 4 м: с погружением в бетонное основание(стойка для сушки белья,стойка для чистки ковров,ДИК "Лесная сказка",ДИК "Восточная сказка",ДИК "Золотая рыбка",ДИК "Мини-крепость",ДИК "Лесная сказка",ДИК (тип 1),ДИК (тип 2),качалка-балансир,качалка на пружине "Самолет",качалка на пружине "Мотоцикл",качалка на пружине "Лошадка",качалка на пружине "Скутер",качалка на пружине "Дельфин",качалка на пружине "Рыбка",качалка на пружине "Пароход",качалка на пружине двухместная "Джип",Домик-беседка,ДИК "ДПС",ДСК,дорожка "Змейка",стенка для метания,Бум,лиана средняя,ворота хоккейные)</t>
  </si>
  <si>
    <t>АО "КСИЛ" Ч.3 стр.1 п.2</t>
  </si>
  <si>
    <t>АО "КСИЛ" Ч.3 стр.1 п.1</t>
  </si>
  <si>
    <t>АО "КСИЛ" Ч.3 стр.1 п.7</t>
  </si>
  <si>
    <t>АО "КСИЛ" Ч.3 стр.1 п.9</t>
  </si>
  <si>
    <t>АО "КСИЛ" Ч.3 стр.1 п.10</t>
  </si>
  <si>
    <t>АО "КСИЛ" Ч.3 стр.1 п.11</t>
  </si>
  <si>
    <t>АО "КСИЛ" Ч.3 стр.1 п.12</t>
  </si>
  <si>
    <t>АО "КСИЛ" Ч.3 стр.1 п.13</t>
  </si>
  <si>
    <t>АО "КСИЛ" Ч.3 стр.1 п.15</t>
  </si>
  <si>
    <t>ТССЦ-15.1.02.07-0023</t>
  </si>
  <si>
    <t>Качалка-балансир: тип "Малая"</t>
  </si>
  <si>
    <t>ТССЦ-15.1.02.07-0043</t>
  </si>
  <si>
    <t>Качалка тип "Самолёт"</t>
  </si>
  <si>
    <t>АО "КСИЛ" Ч.3 стр.1 п.18</t>
  </si>
  <si>
    <t>ТССЦ-15.1.02.07-0061</t>
  </si>
  <si>
    <t>Качалки пружинные: "Лошадка", размеры 490x465x790 мм</t>
  </si>
  <si>
    <t>АО "КСИЛ" Ч.3 стр.1 п.20</t>
  </si>
  <si>
    <t>АО "КСИЛ" Ч.3 стр.1 п.21</t>
  </si>
  <si>
    <t>ТССЦ-15.1.02.07-0042</t>
  </si>
  <si>
    <t>Качалка тип "Рыбка"</t>
  </si>
  <si>
    <t>ТССЦ-15.1.02.07-0032</t>
  </si>
  <si>
    <t>Качалка на пружине: тип "Катерок"</t>
  </si>
  <si>
    <t>ТССЦ-15.1.02.07-0031</t>
  </si>
  <si>
    <t>Качалка на пружине: "Такси", размеры 890х1470х690 мм</t>
  </si>
  <si>
    <t>ТССЦ-15.1.02.05-0003</t>
  </si>
  <si>
    <t>Домик-беседка (стены открытые, со счётами для малышей, со скамейкой внутри, кровля - четырёхскатная фигурная)</t>
  </si>
  <si>
    <t>АО "КСИЛ" Ч.3 стр.1 п.28</t>
  </si>
  <si>
    <t>АО "КСИЛ" Ч.3 стр.1 п.29</t>
  </si>
  <si>
    <t>АО "КСИЛ" Ч.3 стр.1 п.30</t>
  </si>
  <si>
    <t>АО "КСИЛ" Ч.3 стр.1 п.31</t>
  </si>
  <si>
    <t>ТССЦ-15.1.02.03-0031</t>
  </si>
  <si>
    <t>Бум, размеры 4320х220х1030 мм</t>
  </si>
  <si>
    <t>АО "КСИЛ" Ч.3 стр.1 п.8</t>
  </si>
  <si>
    <t>ТССЦ-02.3.01.02-0031</t>
  </si>
  <si>
    <t>Песок природный обогащенный для строительных работ мелкий</t>
  </si>
  <si>
    <t>ЛС 07-01-03 Поз.: 1-17.1</t>
  </si>
  <si>
    <t>ТССЦ-23.3.08.01-0064</t>
  </si>
  <si>
    <t>Трубы стальные квадратные (ГОСТ 8639-82) размером: 80х80 мм. толщина стенки 4 мм</t>
  </si>
  <si>
    <t>ТССЦ-07.2.07.04-0003</t>
  </si>
  <si>
    <t>Конструкции стальные индивидуальные: решетчатые сварные массой 0,1-0,5 т</t>
  </si>
  <si>
    <t>ТЕР06-01-026-04</t>
  </si>
  <si>
    <t>Устройство железобетонных колонн в деревянной опалубке высотой: до 4 м, периметром до 2 м</t>
  </si>
  <si>
    <t>ТССЦ-08.3.05.02-0058</t>
  </si>
  <si>
    <t>Сталь листовая горячекатаная марки Ст3 толщиной: 6-8 мм</t>
  </si>
  <si>
    <t>ТЕР07-01-055-01</t>
  </si>
  <si>
    <t>Устройство ворот распашных с установкой столбов: металлических</t>
  </si>
  <si>
    <t>ТССЦ-23.3.08.01-0069</t>
  </si>
  <si>
    <t>Трубы стальные квадратные (ГОСТ 8639-82) размером: 100х100 мм, толщина стенки 6 мм</t>
  </si>
  <si>
    <t>ТЕР15-01-017-02</t>
  </si>
  <si>
    <t>Наружная облицовка по бетонной поверхности фасадными керамическими цветными плитками (типа "кабанчик") на цементном растворе: колонн (прим.бетонных столбов)</t>
  </si>
  <si>
    <t>АваСтройГарант Ч.4 стр.176</t>
  </si>
  <si>
    <t>Крышка бетонная на столб 580х580х181мм Ц=955</t>
  </si>
  <si>
    <t>ТЕР15-04-030-04</t>
  </si>
  <si>
    <t>Масляная окраска металлических поверхностей: решеток, переплетов, труб диаметром менее 50 мм и т.п., количество окрасок 2 (заполнение решеток более 30% с К=1)</t>
  </si>
  <si>
    <t>ТССЦ-14.4.02.04-0001</t>
  </si>
  <si>
    <t>Краска для наружных работ: бежевая, марки МА-015</t>
  </si>
  <si>
    <t>ТССЦ-04.1.02.05-0044</t>
  </si>
  <si>
    <t>Бетон тяжелый, крупность заполнителя: 20 мм, класс В20 (М250)</t>
  </si>
  <si>
    <t>ТД "Рубеж" Ч.1 Стр.291</t>
  </si>
  <si>
    <t>ТССЦ-04.1.02.05-0043</t>
  </si>
  <si>
    <t>Бетон тяжелый, крупность заполнителя: 20 мм, класс В15 (М200)</t>
  </si>
  <si>
    <t>ТД "Рубеж" Ч.1 Стр.289</t>
  </si>
  <si>
    <t>ТЕР07-01-055-08</t>
  </si>
  <si>
    <t>Устройство калиток: с установкой столбов металлических</t>
  </si>
  <si>
    <t>ТССЦ-08.3.09.01-0024</t>
  </si>
  <si>
    <t>Профилированный лист оцинкованный: НС44-1000-0,7</t>
  </si>
  <si>
    <t>ТЕР09-05-001-01</t>
  </si>
  <si>
    <t>Облицовка ворот стальным профилированным листом (прим)</t>
  </si>
  <si>
    <t>ТССЦ-08.3.09.01-0061</t>
  </si>
  <si>
    <t>Профилированный настил оцинкованный: С15-800-0,6</t>
  </si>
  <si>
    <t>ЛС 07-01-04 Поз.: 1-20.3</t>
  </si>
  <si>
    <t>ТЕР01-01-013-08</t>
  </si>
  <si>
    <t>Разработка грунта с погрузкой на автомобили-самосвалы экскаваторами с ковшом вместимостью: 0,65 (0,5-1) м3, группа грунтов 2</t>
  </si>
  <si>
    <t>ТССЦпг-03-21-01-100</t>
  </si>
  <si>
    <t>Перевозка грузов автомобилями-самосвалами грузоподъемностью 10 т работающих вне карьера на расстояние: I класс груза до 100 км</t>
  </si>
  <si>
    <t>ТЕР06-01-001-13</t>
  </si>
  <si>
    <t>Устройство фундаментов-столбов: бетонных</t>
  </si>
  <si>
    <t>Установка закладных деталей весом: до 4 кг (установка пятаков)</t>
  </si>
  <si>
    <t>ТЕР10-01-053-01</t>
  </si>
  <si>
    <t>Установка каркаса из брусьев для навесов и крылец</t>
  </si>
  <si>
    <t>ТССЦ-11.1.03.01-0086</t>
  </si>
  <si>
    <t>Бруски обрезные хвойных пород длиной: 4-6,5 м, шириной 75-150 мм, толщиной 150 мм и более, II сорта</t>
  </si>
  <si>
    <t>ТССЦ-11.1.03.01-0082</t>
  </si>
  <si>
    <t>Бруски обрезные хвойных пород длиной: 4-6,5 м, шириной 75-150 мм, толщиной 100, 125 мм, II сорта</t>
  </si>
  <si>
    <t>ТЕР12-01-034-02</t>
  </si>
  <si>
    <t>Устройство обрешетки: с прозорами из досок и брусков</t>
  </si>
  <si>
    <t>ТССЦ-11.1.03.06-0087</t>
  </si>
  <si>
    <t>Доски обрезные хвойных пород длиной: 4-6,5 м, шириной 75-150 мм, толщиной 25 мм, III сорта</t>
  </si>
  <si>
    <t>ТЕР12-01-033-01</t>
  </si>
  <si>
    <t>Монтаж кровли из профилированного листа для объектов непроизводственного назначения: простой</t>
  </si>
  <si>
    <t>ТССЦ-01.7.15.04-0045</t>
  </si>
  <si>
    <t>Винты самонарезающие: для крепления профилированного настила и панелей к несущим конструкциям</t>
  </si>
  <si>
    <t>ТССЦ-01.7.15.14-0072</t>
  </si>
  <si>
    <t>Шурупы-саморезы кровельные окрашенные: 4,8х38 мм</t>
  </si>
  <si>
    <t>ТЕР11-01-053-02</t>
  </si>
  <si>
    <t>Устройство оснований полов из фанеры в один слой площадью: свыше 20 м2</t>
  </si>
  <si>
    <t>ТССЦ-11.2.11.04-0052</t>
  </si>
  <si>
    <t>Фанера общего назначения из шпона лиственных пород водостойкая марки ФК,: сорт 2/4, толщина 12 мм</t>
  </si>
  <si>
    <t>ТЕР10-01-012-03</t>
  </si>
  <si>
    <t>Обшивка каркасных стен: плитами древесностружечными 16 мм</t>
  </si>
  <si>
    <t>ТССЦ-11.2.09.02-0003</t>
  </si>
  <si>
    <t>Плиты древесностружечные многослойные и трехслойные, марки П-1, толщиной: 15-17 мм</t>
  </si>
  <si>
    <t>ООО "Благо-Крым Ч.3 стр 142-143</t>
  </si>
  <si>
    <t>ТССЦ-08.3.09.01-0115</t>
  </si>
  <si>
    <t>Профнастил оцинкованный: НС35-1000-0,9</t>
  </si>
  <si>
    <t>ТССЦ-01.7.15.07-0161</t>
  </si>
  <si>
    <t>Крепеж кровельный РОКС-20</t>
  </si>
  <si>
    <t>ТССЦ-11.2.11.03-0003</t>
  </si>
  <si>
    <t>Фанера декоративная марки: ДФ-2 толщиной 10 мм</t>
  </si>
  <si>
    <t>ТЕР15-04-024-01</t>
  </si>
  <si>
    <t>Простая окраска масляными составами по дереву: стен</t>
  </si>
  <si>
    <t>Хоббика Ч.6 стр.31</t>
  </si>
  <si>
    <t>Хоббика Ч6 стр.32</t>
  </si>
  <si>
    <t>ЛС 09-01-01 Поз.: 1-4</t>
  </si>
  <si>
    <t>ТЕРп01-11-011-01</t>
  </si>
  <si>
    <t>Проверка наличия цепи между заземлителями и заземленными элементами</t>
  </si>
  <si>
    <t>100 измерений</t>
  </si>
  <si>
    <t>ТЕРп01-11-010-01</t>
  </si>
  <si>
    <t>Измерение сопротивления растеканию тока заземлителя</t>
  </si>
  <si>
    <t>ТЕРп01-11-010-03</t>
  </si>
  <si>
    <t>Измерение сопротивления растеканию тока контура с диагональю до 200 м</t>
  </si>
  <si>
    <t>ТЕРп01-11-024-01</t>
  </si>
  <si>
    <t>Фазировка электрической линии или трансформатора с сетью напряжением: до 1 кВ</t>
  </si>
  <si>
    <t>ЛС 09-01-02 Поз.: 1</t>
  </si>
  <si>
    <t>ТЕРп03-02-042-01</t>
  </si>
  <si>
    <t>Насос центробежный при подаче: до 10 м3/ч</t>
  </si>
  <si>
    <t>ЛС 09-01-03 Поз.: 1, 2</t>
  </si>
  <si>
    <t>ТЕРп01-14-014-01</t>
  </si>
  <si>
    <t>Лифт пассажирский для административных зданий на 10 остановок, грузоподъемность до 1000 кг, скорость движения кабины: 1 м/с, с микроэлектроникой</t>
  </si>
  <si>
    <t>лифт</t>
  </si>
  <si>
    <t>ТЕРп01-14-014-03</t>
  </si>
  <si>
    <t>При изменении количества остановок уменьшать или добавлять: к расценке 01-14-014-01</t>
  </si>
  <si>
    <t>остановка</t>
  </si>
  <si>
    <t>ЛС 09-01-04 Поз.: 1-3</t>
  </si>
  <si>
    <t>ТЕРп03-01-011-06</t>
  </si>
  <si>
    <t>Регулировочно-запорное устройство: клапан огнезадерживающий</t>
  </si>
  <si>
    <t>ТЕРп03-01-022-01</t>
  </si>
  <si>
    <t>Сеть систем вентиляции и кондиционирования воздуха при количестве сечений: до 5</t>
  </si>
  <si>
    <t>сеть</t>
  </si>
  <si>
    <t>ТЕРп03-01-051-01</t>
  </si>
  <si>
    <t>Система дымоудаления при количестве обслуживаемых этажей: до 6</t>
  </si>
  <si>
    <t>ЛС 09-01-05 Поз.: 1</t>
  </si>
  <si>
    <t>ТЕРп07-10-012-01</t>
  </si>
  <si>
    <t>Регулировка теплопотребляющей системы здания, тепловая нагрузка: до 0,2 Гкал/ч</t>
  </si>
  <si>
    <t>ЛС 09-01-06 Поз.: 1, 2</t>
  </si>
  <si>
    <t>ТЕРп07-03-001-01</t>
  </si>
  <si>
    <t>Горелка: газомазутная или газовая</t>
  </si>
  <si>
    <t>ТЕРп07-02-001-01</t>
  </si>
  <si>
    <t>Котел водогрейный, работающий на жидком или газообразном топливе, теплопроизводительность: до 1 Гкал/ч</t>
  </si>
  <si>
    <t>Прочие затраты</t>
  </si>
  <si>
    <t>39.1</t>
  </si>
  <si>
    <t>Письмо ООО "Тургеневский карьер"</t>
  </si>
  <si>
    <t>Затраты на утилизацию строительного мусора</t>
  </si>
  <si>
    <t xml:space="preserve">Итого </t>
  </si>
  <si>
    <t>Строительно-монтажных работ</t>
  </si>
  <si>
    <t>Прочих затрат</t>
  </si>
  <si>
    <t>Временные здания и сооружения (1,8%)</t>
  </si>
  <si>
    <t>Итого по смете, без НДС</t>
  </si>
  <si>
    <t>Сумма НДС (ставка 20%)</t>
  </si>
  <si>
    <t>Цена контракта с НДС</t>
  </si>
  <si>
    <t xml:space="preserve">Государственный заказчик:   </t>
  </si>
  <si>
    <t>Генеральный  директор</t>
  </si>
  <si>
    <t>____________________________________________________________</t>
  </si>
  <si>
    <t>(должность, подпись, инициалы, фамилия)</t>
  </si>
  <si>
    <t>Подрядчик:</t>
  </si>
  <si>
    <t>Директор</t>
  </si>
  <si>
    <t>/____________ /</t>
  </si>
  <si>
    <t>ИДФ</t>
  </si>
  <si>
    <t>ИДП</t>
  </si>
  <si>
    <t>ВЗиС</t>
  </si>
  <si>
    <t>Приложение №1</t>
  </si>
  <si>
    <t>Проект сметы контракта</t>
  </si>
  <si>
    <t>"Строительство дошкольной образовательной организации в с. Мирновка на 150 мест по ул. Интернациональная Джанкойского района"</t>
  </si>
  <si>
    <t>К для об</t>
  </si>
  <si>
    <t>К для СМР</t>
  </si>
  <si>
    <t>К к торг</t>
  </si>
  <si>
    <t>Земляные работы</t>
  </si>
  <si>
    <t>Перекрытие</t>
  </si>
  <si>
    <t>Монолитный ж/б каркас</t>
  </si>
  <si>
    <t>Лестницы Л-1</t>
  </si>
  <si>
    <t>Лестницы Л-2 (наружные)</t>
  </si>
  <si>
    <t>Лестницы Л-3 (наружные)</t>
  </si>
  <si>
    <t>Устройство стенового заполнения каркаса</t>
  </si>
  <si>
    <t>Узлы крепления стен и перегородок</t>
  </si>
  <si>
    <t>Устройство перегородок</t>
  </si>
  <si>
    <t>Устройство перегородок толщиной 100 мм</t>
  </si>
  <si>
    <t>Устройство перегородок толщиной 200 мм</t>
  </si>
  <si>
    <t>Устройство стен парапета толщ. 200мм высотой до 1,2 м</t>
  </si>
  <si>
    <t>Устройство вентканалов выше уровня кровли</t>
  </si>
  <si>
    <t>Крыльцо №1</t>
  </si>
  <si>
    <t>Устройство монолитных  Ж/Б фундаментов</t>
  </si>
  <si>
    <t>Устройство монолитной Ж/Б плиты</t>
  </si>
  <si>
    <t>Устройство монолитного Ж/Б пандуса</t>
  </si>
  <si>
    <t>Гидроизоляция</t>
  </si>
  <si>
    <t>Устройство козырька над крыльцом №1</t>
  </si>
  <si>
    <t>Крыльцо №4</t>
  </si>
  <si>
    <t>Устройство козырька над крыльцом КР4</t>
  </si>
  <si>
    <t>Крыльцо №5</t>
  </si>
  <si>
    <t>Устройство козырька над крыльцом КР5</t>
  </si>
  <si>
    <t>Вход в подвал</t>
  </si>
  <si>
    <t>Устройство монолитной Ж/Б плиты, Ж/Б  марша, ступеней</t>
  </si>
  <si>
    <t>Дренаж (отвод воды)</t>
  </si>
  <si>
    <t>Устройство козырька над спуском в подвал</t>
  </si>
  <si>
    <t>Приямки</t>
  </si>
  <si>
    <t>Устройство монолитной Ж/Б плиты приямка (4 шт.)</t>
  </si>
  <si>
    <t>Гидроизоляция горизонтальная</t>
  </si>
  <si>
    <t>Дренаж</t>
  </si>
  <si>
    <t>Решётки над приямками</t>
  </si>
  <si>
    <t>Отмостка</t>
  </si>
  <si>
    <t>Ограждение эвакуационных лестниц</t>
  </si>
  <si>
    <t>Ограждение</t>
  </si>
  <si>
    <t>Ограждение пандуса</t>
  </si>
  <si>
    <t>Полы на отм.0.000</t>
  </si>
  <si>
    <t>Тип 5</t>
  </si>
  <si>
    <t>Тип 2</t>
  </si>
  <si>
    <t>Тип 6</t>
  </si>
  <si>
    <t>Тип 4</t>
  </si>
  <si>
    <t>Тип 3</t>
  </si>
  <si>
    <t>Полы на отм. +3.600</t>
  </si>
  <si>
    <t>Тип 5*</t>
  </si>
  <si>
    <t>Тип 6*</t>
  </si>
  <si>
    <t>Тип 3*</t>
  </si>
  <si>
    <t>Плинтусы</t>
  </si>
  <si>
    <t>Оконные блоки</t>
  </si>
  <si>
    <t>Блоки оконные из ПВХ профиля</t>
  </si>
  <si>
    <t>Подоконники</t>
  </si>
  <si>
    <t>Дверные блоки</t>
  </si>
  <si>
    <t>Двери из ПВХ профиля</t>
  </si>
  <si>
    <t>Двери  алюминиевые противопожарные</t>
  </si>
  <si>
    <t>Двери металлические</t>
  </si>
  <si>
    <t>Устройство кровли по ж/б плите</t>
  </si>
  <si>
    <t>Ходовые дорожки</t>
  </si>
  <si>
    <t>Гидроизоляция  и фартук для парапета</t>
  </si>
  <si>
    <t>Водосточная система</t>
  </si>
  <si>
    <t>Устройство козырьков над входами</t>
  </si>
  <si>
    <t>Водосточная система для козырьков</t>
  </si>
  <si>
    <t>Вентканалы</t>
  </si>
  <si>
    <t>Устройство примыканий в вентканалам</t>
  </si>
  <si>
    <t>Потолки</t>
  </si>
  <si>
    <t>Потолки ГКЛ</t>
  </si>
  <si>
    <t>Потолки "Армстронг"</t>
  </si>
  <si>
    <t>Стены и перегородки</t>
  </si>
  <si>
    <t>Откосы</t>
  </si>
  <si>
    <t>Обшивка вентиляционных коробов</t>
  </si>
  <si>
    <t>Внутренняя отделка шахты лифта</t>
  </si>
  <si>
    <t>Канализация К1. Магистрали,стояки</t>
  </si>
  <si>
    <t>Канализация К1. Разводки в группах</t>
  </si>
  <si>
    <t>Канализация К1 выше 0.000 (разводки в санузлах, прачечной и т.д)</t>
  </si>
  <si>
    <t>Канализация К3 ниже 0.000</t>
  </si>
  <si>
    <t>Канализация К3 выше 0.000</t>
  </si>
  <si>
    <t>Канализация К3.1, К3Н</t>
  </si>
  <si>
    <t>Насосная ХП Нст, Пож НСТ</t>
  </si>
  <si>
    <t>Магистрали В1,Т3,Т4 ниже 0.000</t>
  </si>
  <si>
    <t>Стояки В1, Т3, Т4 выше 0.000</t>
  </si>
  <si>
    <t>Разводки  В1, Т3, Т4 выше 0.000 (групповые)</t>
  </si>
  <si>
    <t>Разводки  В1, Т3, Т4 выше 0.000 (пищеблок, санузлы, медблок, прачечная)</t>
  </si>
  <si>
    <t>Стояки В2 выше 0.000</t>
  </si>
  <si>
    <t>Установка санфаянса (Групповые)</t>
  </si>
  <si>
    <t>Установка санфаянса (пищеблок, админ. помещения)</t>
  </si>
  <si>
    <t>Установка санфаянса (МГН)</t>
  </si>
  <si>
    <t>Трубопроводы Т3, Т4 для отопления шкафчиков</t>
  </si>
  <si>
    <t>Система охранной сигнализации и СКУД. Монтаж оборудования</t>
  </si>
  <si>
    <t>Система контроля и управления доступом</t>
  </si>
  <si>
    <t>Система охранного телевидения</t>
  </si>
  <si>
    <t>Кабельно-проводниковая продукция</t>
  </si>
  <si>
    <t>Вентиляция (механическая)</t>
  </si>
  <si>
    <t>П1</t>
  </si>
  <si>
    <t>П2</t>
  </si>
  <si>
    <t>П3</t>
  </si>
  <si>
    <t>П4</t>
  </si>
  <si>
    <t>В1</t>
  </si>
  <si>
    <t>В2</t>
  </si>
  <si>
    <t>В3</t>
  </si>
  <si>
    <t>В4</t>
  </si>
  <si>
    <t>В5</t>
  </si>
  <si>
    <t>В6</t>
  </si>
  <si>
    <t>В7</t>
  </si>
  <si>
    <t>В8</t>
  </si>
  <si>
    <t>В9</t>
  </si>
  <si>
    <t>ВЕ1-ВЕ67, В10-В16</t>
  </si>
  <si>
    <t>ВД1</t>
  </si>
  <si>
    <t>Противодымная вентиляция</t>
  </si>
  <si>
    <t>ПД1</t>
  </si>
  <si>
    <t>ПД2</t>
  </si>
  <si>
    <t>ПД2.1</t>
  </si>
  <si>
    <t>ПД3</t>
  </si>
  <si>
    <t>Электротехнические работы</t>
  </si>
  <si>
    <t>Оборудование</t>
  </si>
  <si>
    <t>Установка радиаторов стальных, панельных</t>
  </si>
  <si>
    <t xml:space="preserve">Установка декоративных экранов для радиаторов </t>
  </si>
  <si>
    <t>Обвязка радиаторов и узлов регулирования системы отопления</t>
  </si>
  <si>
    <t>Установка шаровых кранов и воздухоотводчиков</t>
  </si>
  <si>
    <t>Монтаж трубопроводов</t>
  </si>
  <si>
    <t>Изоляция трубопроводов</t>
  </si>
  <si>
    <t>Теплый пол</t>
  </si>
  <si>
    <t>Теплоснабжение</t>
  </si>
  <si>
    <t>Оборудование на отм.-2.800</t>
  </si>
  <si>
    <t>Оборудование на отм. 0.000</t>
  </si>
  <si>
    <t>Оборудование детского сада</t>
  </si>
  <si>
    <t>Оборудование постирочной</t>
  </si>
  <si>
    <t>Оборудование пищеблока</t>
  </si>
  <si>
    <t>Оборудование на отм.+3.600</t>
  </si>
  <si>
    <t>Оборудование медблока</t>
  </si>
  <si>
    <t>Фасад</t>
  </si>
  <si>
    <t>Наружная отделка входной группы</t>
  </si>
  <si>
    <t>Входная группа</t>
  </si>
  <si>
    <t>Подшивка панелями</t>
  </si>
  <si>
    <t>Вертикальная  облицовка панелями</t>
  </si>
  <si>
    <t>Крыльцо</t>
  </si>
  <si>
    <t>Боковые поверхности крыльца</t>
  </si>
  <si>
    <t>Ступени</t>
  </si>
  <si>
    <t>Площадка</t>
  </si>
  <si>
    <t>Пандус</t>
  </si>
  <si>
    <t>Эвакуационная лестница</t>
  </si>
  <si>
    <t>Балконы</t>
  </si>
  <si>
    <t xml:space="preserve">ИТП </t>
  </si>
  <si>
    <t>Арматура</t>
  </si>
  <si>
    <t>Гелиосистема</t>
  </si>
  <si>
    <t>Трубопроводы</t>
  </si>
  <si>
    <t>Охранно-защитная дератизационная система (ОЗДС)</t>
  </si>
  <si>
    <t>Автоматическая пожарная сигнализация</t>
  </si>
  <si>
    <t>Контрольно-проводниковая продукция</t>
  </si>
  <si>
    <t>ЗИП</t>
  </si>
  <si>
    <t>Сеть передачи данных</t>
  </si>
  <si>
    <t>Телефонизация</t>
  </si>
  <si>
    <t>Телевидение</t>
  </si>
  <si>
    <t>Часофикация</t>
  </si>
  <si>
    <t>Проводное вещание</t>
  </si>
  <si>
    <t>Кабельные проводки</t>
  </si>
  <si>
    <t>Фундамент Ф-1 (столбчатый)</t>
  </si>
  <si>
    <t>Гидроизоляция Ф-1</t>
  </si>
  <si>
    <t xml:space="preserve">Отмостка </t>
  </si>
  <si>
    <t>Монтаж дымовой трубы и блок-бокса котельной</t>
  </si>
  <si>
    <t>Опоры освещения</t>
  </si>
  <si>
    <t>Прокладка кабеля</t>
  </si>
  <si>
    <t>Заземление</t>
  </si>
  <si>
    <t>Сети связи</t>
  </si>
  <si>
    <t>Подземный газопровод</t>
  </si>
  <si>
    <t>Устройство основания</t>
  </si>
  <si>
    <t>Прокладка трубопроводов</t>
  </si>
  <si>
    <t>Надземный газопровод среднего давления Г2</t>
  </si>
  <si>
    <t>Проектируемый ГРПШ</t>
  </si>
  <si>
    <t>Надземный газопровод низкого давления Г1</t>
  </si>
  <si>
    <t>Испытание газопровода</t>
  </si>
  <si>
    <t>Устройство ввода в котельную</t>
  </si>
  <si>
    <t>Рама для УУГ</t>
  </si>
  <si>
    <t>Узел учета газа</t>
  </si>
  <si>
    <t>Заземление ГРПШ м УУГ</t>
  </si>
  <si>
    <t>Молниеприемник МП-1</t>
  </si>
  <si>
    <t>Устройство площадки и ограждения ГРПШ и УУГ</t>
  </si>
  <si>
    <t>Под смотровые колодцы</t>
  </si>
  <si>
    <t>Под трубопроводы ф160мм</t>
  </si>
  <si>
    <t>Под трубопроводы ф110мм</t>
  </si>
  <si>
    <t>Под трубопроводы канализации Т96</t>
  </si>
  <si>
    <t>Канализация К1, К3, Т96</t>
  </si>
  <si>
    <t>Дренажная канализация Т96 (от котельной)</t>
  </si>
  <si>
    <t xml:space="preserve">Монтаж ж/б колодцев Ø 1000 мм </t>
  </si>
  <si>
    <t xml:space="preserve">Монтаж ж/б колодцев Ø 1500 мм </t>
  </si>
  <si>
    <t>Водоснабжение В1</t>
  </si>
  <si>
    <t>Устройство ж/б колодцев ф2000 мм</t>
  </si>
  <si>
    <t>Устройство ж/б колодцев ф2500 мм</t>
  </si>
  <si>
    <t>Устройство ж/б колодцев ф1500 мм</t>
  </si>
  <si>
    <t>Устройство ж/б колодцев ф1000 мм</t>
  </si>
  <si>
    <t>Монтаж трубопровода ПЭ 100 ∅75х5,6 мм</t>
  </si>
  <si>
    <t>Монтаж трубопровода ПЭ 100 ∅63х4,7 мм</t>
  </si>
  <si>
    <t>Монтаж трубопровода ПЭ 100 ∅110х8,1мм</t>
  </si>
  <si>
    <t>В колодце для наполнения пож. резервуаров</t>
  </si>
  <si>
    <t>Наружные сети В2</t>
  </si>
  <si>
    <t>Устройство ж/б колодцев ø1500 мм, h=2,15м (2 шт)</t>
  </si>
  <si>
    <t>Устройство ж/б колодцев ø1500 мм, h=3,15м (4 шт)</t>
  </si>
  <si>
    <t>Монтаж трубопровода ПЭ 100 ∅160х11,8 мм</t>
  </si>
  <si>
    <t>Монтаж трубопровода ПЭ 100 ∅110х8,1 мм</t>
  </si>
  <si>
    <t>Ж.Б. камера для насосной пожаротушения (ПНС), габаритный размер 3,5х3,0х5,0 (h)</t>
  </si>
  <si>
    <t>Устройство монолитной Ж/Б фундаментной плиты</t>
  </si>
  <si>
    <t>Устройство монолитной камеры насосной</t>
  </si>
  <si>
    <t>Стены</t>
  </si>
  <si>
    <t>Устройствоонолитной Ж/Б плиты покрытия</t>
  </si>
  <si>
    <t>Устройство люка</t>
  </si>
  <si>
    <t>Модуль насосной станции</t>
  </si>
  <si>
    <t>Устройство монолитной Ж/Б фундаментной плиты ПМ1</t>
  </si>
  <si>
    <t>Установка резервуаров</t>
  </si>
  <si>
    <t>Укладка трубопроводов</t>
  </si>
  <si>
    <t xml:space="preserve">Монтаж колодца УТ-1 </t>
  </si>
  <si>
    <t xml:space="preserve">Монтаж сбросного колодца С-1 </t>
  </si>
  <si>
    <t>Устройство покрытия</t>
  </si>
  <si>
    <t>Асфальтобетонное покрытие Тип 1</t>
  </si>
  <si>
    <t>Покрытие плиткой Тип 2 + ОДИ</t>
  </si>
  <si>
    <t>Спортивное покрытие Тип 3</t>
  </si>
  <si>
    <t>Устройство бордюров из бортовых камней</t>
  </si>
  <si>
    <t>Озеленение территории</t>
  </si>
  <si>
    <t>Устройство газона (тип 4)</t>
  </si>
  <si>
    <t>Посадка деревьев и кустарников</t>
  </si>
  <si>
    <t>Установка ворот</t>
  </si>
  <si>
    <t>Установка калитки</t>
  </si>
  <si>
    <t>Установка ограждения</t>
  </si>
  <si>
    <t>Ограждение локальных очистных сооружений</t>
  </si>
  <si>
    <t>Установка ворот с калиткой</t>
  </si>
  <si>
    <t>Ограждение площадки сбора мусора</t>
  </si>
  <si>
    <t>Теневые навесы</t>
  </si>
  <si>
    <t>Устройство теневых навесов</t>
  </si>
  <si>
    <t>Навесы для велосипедов и самокатов</t>
  </si>
  <si>
    <t>Устройство навесов</t>
  </si>
  <si>
    <t xml:space="preserve"> дошкольной образовательной организации в с. Мирновка на 150 мест</t>
  </si>
  <si>
    <t xml:space="preserve">по ул.Интернациональная Джанкойского района" </t>
  </si>
  <si>
    <t xml:space="preserve">Ограждение на 3 поручня с вертикальным заполнением из нержавеющей стали (поручни диаметрои 38мм, высота ограждения 1200мм, поручни на уровне 500мм, 900мм, 1200мм) (стоимость указана с учетом монтажа) </t>
  </si>
  <si>
    <t xml:space="preserve">Тактильная плитка для внутренних помещений 300х300мм </t>
  </si>
  <si>
    <t>Направляющая тактильная лента ПВХ на клеевой основе</t>
  </si>
  <si>
    <t>Полимерное покрытие гидроизолятором Броня Акваблок  (Расход 1мм-1,2кг/м2-один слой, 2мм-2,4кг/м2-два слоя)</t>
  </si>
  <si>
    <t>Сверхтонкая теплоизоляция Броня Классик 2мм, (расход 1мм-1,1л/м2, 2мм-2,2л/м2)</t>
  </si>
  <si>
    <t>Надбавка на водонепроницаемость W10, бетон класс В25 (М350)</t>
  </si>
  <si>
    <t>На каждые 10 мм изменения глубины сверления добавлять или исключать: к расценке 46-03-013-45 (К=10 до 100 мм)</t>
  </si>
  <si>
    <t xml:space="preserve">Надбавка на водонепроницаемость W10, бетон класс В25 (М350) </t>
  </si>
  <si>
    <t>На каждые 10 мм изменения глубины сверления добавлять или исключать: к расценке 46-03-014-01 (К=10 до 100 мм)</t>
  </si>
  <si>
    <t>Ограждение пандуса на два поручня с колесоотбойником из нержавеющей стали (поручни - диаметр 42,4мм, стойка -диаметр 38мм, ригель - диаметр 16мм, поручни на уровне 700мм, 900мм, расстояние между стойками 1000мм) (стоимость с учетом монтажа)</t>
  </si>
  <si>
    <t>Устройство стяжек: на каждые 5 мм изменения толщины стяжки добавлять или исключать к расценке 11-01-011-01 (К=4 до 40 мм)</t>
  </si>
  <si>
    <t>Устройство стяжек: на каждый последующий слой толщиной 1 мм добавлять к расценке 11-01-011-08 (К=3 до 8 мм)</t>
  </si>
  <si>
    <t>Устройство гидроизоляции обмазочной: в один слой праймером (К=2, за 2 раза)</t>
  </si>
  <si>
    <t>Устройство стяжек: на каждые 5 мм изменения толщины стяжки добавлять или исключать к расценке 11-01-011-01 (К=8 до 60 мм)</t>
  </si>
  <si>
    <t>Устройство стяжек: на каждые 5 мм изменения толщины стяжки добавлять или исключать к расценке 11-01-011-01 (К=4, до 40 мм)</t>
  </si>
  <si>
    <t xml:space="preserve">Полимерное покрытие гидроизолятором Броня Акваблок  (Расход 1мм-1,2кг/м2-один слой, 2мм-2,4кг/м2-два слоя) </t>
  </si>
  <si>
    <t xml:space="preserve">Сверхтонкая теплоизоляция Броня Классик 2мм, (расход 1мм-1,1л/м2, 2мм-2,2л/м2) </t>
  </si>
  <si>
    <t>Устройство стяжек: на каждые 5 мм изменения толщины стяжки добавлять или исключать к расценке 11-01-011-01 (К=8, до 60 мм)</t>
  </si>
  <si>
    <t>Устройство стяжек: на каждые 5 мм изменения толщины стяжки добавлять или исключать к расценке 11-01-011-01  (К=8, до 60 мм)</t>
  </si>
  <si>
    <t>Устройство стяжек: на каждые 5 мм изменения толщины стяжки добавлять или исключать к расценке 11-01-011-01  (К=4, до 40 мм)</t>
  </si>
  <si>
    <t>Устройство направляющей тактильной ленты</t>
  </si>
  <si>
    <t>Устройство стяжек: на каждый последующий слой толщиной 1 мм добавлять к расценке 11-01-011-08 (К=-2 до 3 мм)</t>
  </si>
  <si>
    <t>Тактильная плитка для внутренних помещений 300х300мм</t>
  </si>
  <si>
    <t>Дверь алюминиевая, остекленная, двухпольная, противопожарная, (п.о.)EIS 30, 1400х2100 мм</t>
  </si>
  <si>
    <t>Дверь  противопожарная : алюминиевая глухая однопольная 1000х2100мм</t>
  </si>
  <si>
    <t>Дверь металлическая, наружная,глухая, двупольная, утепленная  с порогом 1400х3000 мм с фрамугой</t>
  </si>
  <si>
    <t xml:space="preserve">Дверь металлическая, наружная, остекленная двупольная, утепленная с порогом 1500х3000мм </t>
  </si>
  <si>
    <t xml:space="preserve">Дверь металлическая, наружная,глухая, двупольная, утепленная  с порогом 1500х2100мм с фрамугой </t>
  </si>
  <si>
    <t>Устройство выравнивающих стяжек: на каждый 1 мм изменения толщины добавлять или исключать к расценке 12-01-017-01 (К=5, до 20 мм)</t>
  </si>
  <si>
    <t>RU01 Уклон А Оптима 20-35 1000х600 (S=0,6м2-1шт)</t>
  </si>
  <si>
    <t>RU01 Уклон B Оптима 35-50 1000х600 (S=0,6м2-1шт)</t>
  </si>
  <si>
    <t xml:space="preserve">RU01 Уклон C Оптима 50-65 1000х600 (S=0,6м2-1шт) </t>
  </si>
  <si>
    <t xml:space="preserve">RU01 Уклон D Оптима 65-80 1000х600 (S=0,6м2-1шт) </t>
  </si>
  <si>
    <t xml:space="preserve">RU01 Добор Оптима 600  60 1000х600 (S=0,6м2-1шт) </t>
  </si>
  <si>
    <t xml:space="preserve">Крепежные элементы </t>
  </si>
  <si>
    <t>Устройство выравнивающих стяжек: на каждый 1 мм изменения толщины добавлять или исключать к расценке 12-01-017-01 (К=35, до 50 мм)</t>
  </si>
  <si>
    <t>Икопал СОЛО ФМ</t>
  </si>
  <si>
    <t>Дюбель-гвоздь тарельчатый Tech-KREP IZR-M 10/16, 10х160мм</t>
  </si>
  <si>
    <t xml:space="preserve">Полужесткая битумная плитка Dalle parcours 500х500мм (0,5*0,5=0,25м2-1 шт, 1упаковка-4 шт-1м2, 120,9м2-484 шт-121 м2-121 упаковка) </t>
  </si>
  <si>
    <t>Соединитель трубы диаметр 100 мм</t>
  </si>
  <si>
    <t>Панель стальная оцинкованная структурированная КраспанМеталлКолор 175х2000-4000 (с шагом 200мм) порошковое покрытие ( RAL 9010 белый)</t>
  </si>
  <si>
    <t xml:space="preserve">Зонты вентиляционных систем из листовой и сортовой стали,: прямоугольные 850х650мм </t>
  </si>
  <si>
    <t>Зонты вентиляционных систем из листовой и сортовой стали,: прямоугольные 1300х900мм</t>
  </si>
  <si>
    <t xml:space="preserve">Зонты вентиляционных систем из листовой и сортовой стали,: прямоугольные 1100х650 мм </t>
  </si>
  <si>
    <t xml:space="preserve">Зонты вентиляционных систем из листовой и сортовой стали,: прямоугольные 4250х900мм </t>
  </si>
  <si>
    <t xml:space="preserve">Зонты вентиляционных систем из листовой и сортовой стали,: прямоугольные 700х2400мм </t>
  </si>
  <si>
    <t xml:space="preserve">Зонты вентиляционных систем из листовой и сортовой стали,: прямоугольные 1100х4950 мм </t>
  </si>
  <si>
    <t xml:space="preserve">Зонты вентиляционных систем из листовой и сортовой стали,: прямоугольные 1300х650мм </t>
  </si>
  <si>
    <t xml:space="preserve">Зонты вентиляционных систем из листовой и сортовой стали,: прямоугольные 650х650мм </t>
  </si>
  <si>
    <t xml:space="preserve">Зонты вентиляционных систем из листовой и сортовой стали,: прямоугольные 700х700 мм </t>
  </si>
  <si>
    <t xml:space="preserve">Зонты вентиляционных систем из листовой и сортовой стали,: прямоугольные 1100х1065 мм  </t>
  </si>
  <si>
    <t>Зонты вентиляционных систем из листовой и сортовой стали,: прямоугольные 1050х650 мм</t>
  </si>
  <si>
    <t xml:space="preserve">Зонты вентиляционных систем из листовой и сортовой стали,: прямоугольные 1700х900мм </t>
  </si>
  <si>
    <t xml:space="preserve">Зонты вентиляционных систем из листовой и сортовой стали,: прямоугольные 1750х650мм </t>
  </si>
  <si>
    <t xml:space="preserve">Зонты вентиляционных систем из листовой и сортовой стали,: прямоугольные 3350х650мм </t>
  </si>
  <si>
    <t>Хомут с резиновым уплотнителем в комплекте со шпилькой  2", VALTEC RH.09</t>
  </si>
  <si>
    <t>Хомут с резиновым уплотнителем в комплекте со шпилькой 4", VALTEC RH.12</t>
  </si>
  <si>
    <t>Трап регулируемый с механическим затвором, с чугунной
крышкой, с вертикальным выпуском ТП-310PMs, Ду 50 мм</t>
  </si>
  <si>
    <t>Хомут с резиновым уплотнителем в комплекте со шпилькой  1", VALTEC RH.06</t>
  </si>
  <si>
    <t>Насосная установка Hydro Multi-E 2 CRE 05-04 с мембранным баком 18 л Grundfos (1- раб., 1-запасн.)</t>
  </si>
  <si>
    <t>Мембаранный гидроаккумулятор DE200 V=150л, присоед 1 1/4" Reflex</t>
  </si>
  <si>
    <t>Магнитный преобразователь воды МПВ MWS Dy32</t>
  </si>
  <si>
    <t>Переход терморезисторный ПЭ100 SDR11 75х63</t>
  </si>
  <si>
    <t>Хомут с резиновым уплотнителем в комплекте со шпилькой 2", VALTEC RH.09</t>
  </si>
  <si>
    <t>Хомут с резиновым уплотнителем в комплекте со шпилькой 1 1/2", VALTEC RH.08</t>
  </si>
  <si>
    <t>Установка УФО УОВ-УФТ-А-1-200-Ø114-G2 Δh=0,2 м, Q=6м³/ч в комплекте шт 1 с насосом промывки n=1450 об/мин и шкафом управления N=0,4 кВт</t>
  </si>
  <si>
    <t>Труба Fiber Basalt Plus Ø50x6,9 с фитингами / dy 40 EKOPLASTIK</t>
  </si>
  <si>
    <t>Труба Fiber Basalt Plus Ø40x5,5 с фитингами / dy 32 EKOPLASTIK</t>
  </si>
  <si>
    <t>Труба Fiber Basalt Plus Ø63x8,6 с фитингами / dy 50 EKOPLASTIK</t>
  </si>
  <si>
    <t>Труба Fiber Basalt Plus Ø32x4,4 с фитингами / dy 25 EKOPLASTIK</t>
  </si>
  <si>
    <t>Труба Fiber Basalt Plus Ø25x3,5 с фитингами / dy 20 EKOPLASTIK</t>
  </si>
  <si>
    <t>Труба Fiber Basalt Plus Ø20x2,8 с фитингами / dy 15 EKOPLASTIK</t>
  </si>
  <si>
    <t>Смеситель с терморегулировкой для подготовки теплой воды KR532 34D, подключ. 3/4" (Рабочая температура: 1 - 45 °) "Kopfgescheit"</t>
  </si>
  <si>
    <t>Электроводонагреватель вертикальный  V=80 л, N=2,2 кВт ( в комплекте с предохранительным клапаном, шурупами, дюбелями)</t>
  </si>
  <si>
    <t>Монтажный шкаф ШРВ-5   SCC-0002-001316</t>
  </si>
  <si>
    <t>Огнетушитель порошковый</t>
  </si>
  <si>
    <t>Огнетушитель углекислотный емк 3,5 кг</t>
  </si>
  <si>
    <t>Раковина (умывальник) детская 400х320х200 керамическая, прямоугольная напольная с пьедисталом</t>
  </si>
  <si>
    <t>Поддон душевой прямоугольный акриловый 900х900х200 в комплекте</t>
  </si>
  <si>
    <t>Поддон душевой прямоугольный акриловый 600х600х200 в комплекте</t>
  </si>
  <si>
    <t>Ванна моечная двухсекционная из нержавеющей стали AISI 304 емкость 330/330/300, каркас сварной из крашенного металла</t>
  </si>
  <si>
    <t>Раковина  керамическая, 45см, высота 16см с пьедисталом прямоугольная напольная с пьедисталом</t>
  </si>
  <si>
    <t>Раковина  керамическая с пьедесталом</t>
  </si>
  <si>
    <t>Смеситель локтевой для умывальника</t>
  </si>
  <si>
    <t>Поддон душевой прямоугольный акриловый 900х900х200</t>
  </si>
  <si>
    <t>Смеситель локтевой  с гусаком для душевого поддона и ванны</t>
  </si>
  <si>
    <t>Смеситель локтевой с гусаком для душевого поддона и ванны</t>
  </si>
  <si>
    <t>Сифон с уплотнительным кольцом диаметром 32мм</t>
  </si>
  <si>
    <t>Ванна моечная двухсекционная 1200х600х850из нержавеющей стали</t>
  </si>
  <si>
    <t>Раковина с пьедисталом  550х450х200</t>
  </si>
  <si>
    <t>Поручни П-12, для  людей с ограниченными возможностями</t>
  </si>
  <si>
    <t>Поручни П-10, для  людей с ограниченными возможностями</t>
  </si>
  <si>
    <t>Поручни стена-пол, 4 точки крепления и кронштейны для раковины в комплекте</t>
  </si>
  <si>
    <t>Хомут с резиновым уплотнителем в комплекте со шпилькой 1/2", VALTEC RH.04</t>
  </si>
  <si>
    <t>Адресный приемно-контрольный и управления пожарный прибор РУБЕЖ-2ОП прот.R3</t>
  </si>
  <si>
    <t>Адресный конвертер протоколов АКП-1 прот.R3</t>
  </si>
  <si>
    <t>Резервированный источник питания, 2А, 12В ИВЭПР 12/2 RS-R3</t>
  </si>
  <si>
    <t>Бокс резервного электропитания БР12</t>
  </si>
  <si>
    <t>Аккумуляторная батарея, 12В, 17Ач «Delta» DTM1217</t>
  </si>
  <si>
    <t>Аккумуляторная батарея, 12В, 12Ач «Delta» DTM1212</t>
  </si>
  <si>
    <t>Извещатель охранный магнитоуправляемый адресный ИО 10220-2</t>
  </si>
  <si>
    <t>Извещатель охранный поверхностный оптико-электронный адресный ИО 30920-2</t>
  </si>
  <si>
    <t>Оповещатель охранно-пожарный комбинированный ОПОП 124-R3</t>
  </si>
  <si>
    <t>Телефонный аппарат СЭС ГРАНИТ-202 GSM БН-ЗК</t>
  </si>
  <si>
    <t>Модуль контроля доступа МКД-2 прот. R3</t>
  </si>
  <si>
    <t>Резервированный источник питания,5А,12В.ИВЭПР 12/5 RS- R3, 2х12 БР</t>
  </si>
  <si>
    <t>Металлодетектор арочный Блокпост РС X 100</t>
  </si>
  <si>
    <t>Металлодетектор ручной BM-612 ПРО</t>
  </si>
  <si>
    <t>Блок вызова аудиодомофона на 8 абонентов DR-8AM</t>
  </si>
  <si>
    <t>Аудиотрубка c кнопкой управления замком DP-SS</t>
  </si>
  <si>
    <t>Считыватель Wiegand-26 RDM-20</t>
  </si>
  <si>
    <t>Кнопка накладная RTE-30 КОДОС</t>
  </si>
  <si>
    <t>Электромагнитный замок КОДОС LOCK-30</t>
  </si>
  <si>
    <t>Замок электромеханический накладной ST-RL073DI-SS</t>
  </si>
  <si>
    <t>Замок электромеханический  CAME LOCK-82</t>
  </si>
  <si>
    <t>Уличная IP видеокамера DS-2CD2T43G0-I5 Hikvision</t>
  </si>
  <si>
    <t>Внутренняя IP видеокамера DS-2CD2327G1-L Hikvision</t>
  </si>
  <si>
    <t>Сетевой видеорегистратор на 32 канала DS-8632NI-I8 Hikvision</t>
  </si>
  <si>
    <t>Жесткий диск (HDD) для видеонаблюдения WD81PURZ</t>
  </si>
  <si>
    <t>27.9", TFT-LED Монитор DS-D5028UC</t>
  </si>
  <si>
    <t>Настраиваемый стекируемый коммутатор SmartPro уровня 2+ с 48 портами 10/100/1000Base-T и 4 портами 10GBase-X SFP+ DGS-1510-52XMP D-Link</t>
  </si>
  <si>
    <t>Устройство грозозащиты цепей на 12 каналов SVP-17/IP-12 Спецвидеопроект</t>
  </si>
  <si>
    <t>Устройство грозозащиты SVP-17G Спецвидеопроект</t>
  </si>
  <si>
    <t>Короб с крышкой, 100х40, серия In-Liner Classic TA-GN 100x40</t>
  </si>
  <si>
    <t>Угол внешний изменяемый (70-120) NEAV 100x40</t>
  </si>
  <si>
    <t>Угол внутренний изменяемый (70-120) NIAV 100x40</t>
  </si>
  <si>
    <t>Кабельный канал 50х26х2500 с крышкой, серия "Миникороба"</t>
  </si>
  <si>
    <t>Кабель КПСнг(A)-FRHF LTx 1х2х0,5</t>
  </si>
  <si>
    <t>Кабель КПСнг(A)-FRHF LTx 2х2х0,5</t>
  </si>
  <si>
    <t>Кабель силовой огнестойкий ППГНГ(А)-HFLTX 3х1,5</t>
  </si>
  <si>
    <t>Кабель КПСГЭнг(A)-FRHF LTx 1х2х0,5</t>
  </si>
  <si>
    <t>Кабель КПСГЭнг(A)-FRHF LTx 2х2х0,5</t>
  </si>
  <si>
    <t>Кабель  "витая пара" (LAN) для структкрированных систем связи 19C-U5-23WT-B305</t>
  </si>
  <si>
    <t>Кабель питания, евровилка с заземлением, 10А, 1,8м TLK-PCC10-018</t>
  </si>
  <si>
    <t>Кабель питающий ППГнг(А)-HFLTX 1х4</t>
  </si>
  <si>
    <t>Установка приточная П1 VKC-OVK-S-5-GSF3H1VsNG-R</t>
  </si>
  <si>
    <t>Автоматика VAC-W-SLD1D3D35D125T123D14</t>
  </si>
  <si>
    <t>Преобразователь частоты 1,5 кВт 380В</t>
  </si>
  <si>
    <t>Узел терморегулирования VKRGS-10/80-2</t>
  </si>
  <si>
    <t>Воздуховоды из оцинкованной стали  толщиной: 0,8 мм,  600х450, 600х500, 800х300мм</t>
  </si>
  <si>
    <t>Воздуховоды из оцинкованной стали  толщиной: 0,8 мм,  975х770 мм</t>
  </si>
  <si>
    <t>Гибкий изолированный воздуховод ф250мм РОВЕН</t>
  </si>
  <si>
    <t>Камера статического давления СД-YAR-600*600-Б.250-Р-0 РОВЕН</t>
  </si>
  <si>
    <t>Клапан противопожарный 03-90-2-НО-600*500(М-k/200)-Л-СН</t>
  </si>
  <si>
    <t>Клапан противопожарный 03-90-2-НО-800*300(М-k/200)-Л-СН</t>
  </si>
  <si>
    <t>Огнезащитное покрытие ОБМ-ТехВЕНТ 90-1 Ф - кашированный алюм. фольгой, δ=30мм,EI90</t>
  </si>
  <si>
    <t>Установка приточная П2 VKC-OVK-S-3,15-GSF3H1VsNG-R</t>
  </si>
  <si>
    <t>Преобразователь частоты 0,7 кВт 380В</t>
  </si>
  <si>
    <t>Узел терморегулирования VKRGS-4/60-2</t>
  </si>
  <si>
    <t>Воздуховоды из оцинкованной стали  толщиной: 0,8 мм, 400х300мм</t>
  </si>
  <si>
    <t>Воздуховоды из оцинкованной стали  толщиной: 0,8 мм, 770х670 мм</t>
  </si>
  <si>
    <t>Камера статического давления СД-YAR-450*450-Б.125-Р-0</t>
  </si>
  <si>
    <t>Камера статического давления СД-YAR-450*450-Б.160-Р-0</t>
  </si>
  <si>
    <t>Камера статического давления СД-YAR-450*450-Б.250-Р-0</t>
  </si>
  <si>
    <t>Клапан противопожарный 03-90-2-НО-400*250(М-k/200)-К-СН</t>
  </si>
  <si>
    <t>Клапан противопожарный 03-90-2-НО-400*300(М-k/200)-К-СН</t>
  </si>
  <si>
    <t>Клапан противопожарный 03-90-2-НО-300*400(М-k/200)-К-СН</t>
  </si>
  <si>
    <t>Клапан противопожарный 03-90-2-НО-125(М-k/200)-К-СН</t>
  </si>
  <si>
    <t>Установка приточная П3 VKC-OVK-S-1,6-GSF3H1VsNG-R</t>
  </si>
  <si>
    <t>Шкаф (пульт) управления навесной, высота, ширина и глубина: до 600х600х350 мм - Автоматика</t>
  </si>
  <si>
    <t>Узел терморегулирования VKRGS-1,6/60-2</t>
  </si>
  <si>
    <t>Воздуховоды из оцинкованной стали с шиной и уголками толщиной: 0,8 мм, 150х150, 200х200</t>
  </si>
  <si>
    <t>Воздуховоды из оцинкованной стали с шиной и уголками толщиной: 0,8 мм, 300х200мм</t>
  </si>
  <si>
    <t>Воздуховоды из оцинкованной стали с шиной и уголками толщиной: 0,8 мм, 670х470 мм</t>
  </si>
  <si>
    <t>Воздуховоды из оцинкованной стали  толщиной: 0,8 мм, диаметром125, 160мм</t>
  </si>
  <si>
    <t>Заслонка прямоугольная с ручным управлением АЗД-оц-192-200*100-РП</t>
  </si>
  <si>
    <t>Клапан противопожарный 03-90-2-НО-200*100(М-k/200)-К-СН</t>
  </si>
  <si>
    <t>Клапан противопожарный 03-90-2-НО-300*200(М-k/200)-К-СН</t>
  </si>
  <si>
    <t>Установка приточная П4 VKC-OVK-S-1,6-GSF3H1VsNG-R</t>
  </si>
  <si>
    <t>Воздуховоды из оцинкованной стали  толщиной: 0,8 мм, 300х200мм</t>
  </si>
  <si>
    <t>Воздуховоды из оцинкованной стали  толщиной: 0,8 мм, 670х470мм</t>
  </si>
  <si>
    <t>Камера статического давления СД-YAR-450*450-Б.200-Р-0</t>
  </si>
  <si>
    <t>Вентилятор крышный VKVT(S) 63/45-4.1</t>
  </si>
  <si>
    <t>Стакан монтажный VT(H) для VKVT 63</t>
  </si>
  <si>
    <t>Автоматика VAK-10-Sh</t>
  </si>
  <si>
    <t>Воздуховоды из оцинкованной стали  толщиной: 0,8 мм, 500х400мм</t>
  </si>
  <si>
    <t>Клапан противопожарный типа ОЗ 500х400, ОЗ-90-2-НО-500*400(М-Iк/220)-К-СН</t>
  </si>
  <si>
    <t>Вентилятор крышный VKVT(S) 40/31-4.1</t>
  </si>
  <si>
    <t>Стакан монтажный VT(H) для VKVT 40</t>
  </si>
  <si>
    <t>Воздуховоды из оцинкованной стали  толщиной: 0,8 мм, диаметром 250мм</t>
  </si>
  <si>
    <t>Вентилятор крышный VKVT(S) 56/40-4.3</t>
  </si>
  <si>
    <t>Стакан монтажный VT(H) для VKVT 56</t>
  </si>
  <si>
    <t>Регулятор скорости VTY 1.5</t>
  </si>
  <si>
    <t>Воздуховоды из оцинкованной стали  толщиной: 0,8 мм, периметром 400х300мм</t>
  </si>
  <si>
    <t>Клапан противопожарный 03-90-2-НО-250*100(М-k/200)-К-СН</t>
  </si>
  <si>
    <t>Вентилятор крышный VKVT(S) 56/35-4.3</t>
  </si>
  <si>
    <t>Воздуховоды из оцинкованной стали  толщиной: 0,8 мм, диаметром 200мм</t>
  </si>
  <si>
    <t>Воздуховоды из оцинкованной стали с шиной и уголками толщиной: 0,8 мм, 150х150, 200х100, 200х200,250х200, 300х200мм</t>
  </si>
  <si>
    <t>Воздуховоды из оцинкованной стали  толщиной: 0,8 мм, диаметром 125, 160мм</t>
  </si>
  <si>
    <t>Клапан противопожарный 03-90-2-НО-250*200(М-k/200)-К-СН</t>
  </si>
  <si>
    <t>Вентилятор канальный VKVR(P) ф160</t>
  </si>
  <si>
    <t>Клапан обратный VKOR ф160</t>
  </si>
  <si>
    <t>Гибкая вставка ф160</t>
  </si>
  <si>
    <t>Шумоглушитель VKNR, L=500 мм</t>
  </si>
  <si>
    <t>Хомут VR ф160</t>
  </si>
  <si>
    <t>Воздуховоды из оцинкованной стали с шиной и уголками толщиной: 0,8 мм, 250х150мм</t>
  </si>
  <si>
    <t>Клапан противопожарный 03-90-2-НО-100*150(М-k/200)-К-СН</t>
  </si>
  <si>
    <t>Клапан противопожарный 03-90-2-НО-150*200(М-k/200)-К-СН</t>
  </si>
  <si>
    <t>Вентилятор ВР 80-75-6,3ДУ-2ч/400°C-4/1410-П0</t>
  </si>
  <si>
    <t>Гибкая вставка (400) кругл. для ВР 80-75-6,3ДУ</t>
  </si>
  <si>
    <t>Гибкая вставка (400) прямоуг. для ВР 80-75-6,3ДУ</t>
  </si>
  <si>
    <t>Автоматика VAK-30-Sh (4 КВт)</t>
  </si>
  <si>
    <t>Клапан обртаный VKO, ф630, VKO-630</t>
  </si>
  <si>
    <t>Клапан противопожарный КДМ-2М, КДМ-2М-MSE(220)-800x400-ВН-EI90</t>
  </si>
  <si>
    <t>Решетка декоративная  800x400, VKR 800x400</t>
  </si>
  <si>
    <t>Решетка декоративная  700x500, VKR 700х500</t>
  </si>
  <si>
    <t>Вентилятор НАПОР-5-4х3000-1Ж36-02</t>
  </si>
  <si>
    <t>Гибкая вставка ВО-5</t>
  </si>
  <si>
    <t>Решетка декоративная  800x500, VKR 800x500</t>
  </si>
  <si>
    <t>Вентилятор НАПОР-8-1,5х1500-2А32-01</t>
  </si>
  <si>
    <t>Стакан СТКВ-ВО-8</t>
  </si>
  <si>
    <t>Клапан обратный ВО-8</t>
  </si>
  <si>
    <t>Кожух всепогодный ВО-8</t>
  </si>
  <si>
    <t>Автоматика VAK-30-Sh (2,2 КВт)</t>
  </si>
  <si>
    <t>Вентилятор канальный VKV 500х250 4.3/380</t>
  </si>
  <si>
    <t>Воздухонагреватель электрический VKH-E 500х250/15</t>
  </si>
  <si>
    <t>Клапан обратный  VKO 500х250</t>
  </si>
  <si>
    <t>Вставка гибкая VKG 500х250</t>
  </si>
  <si>
    <t>Автоматика VAK-E15-30-Sh (0,49 КВт)</t>
  </si>
  <si>
    <t>Воздуховоды из оцинкованной стали  толщиной: 0,8 мм,  500х250мм, 500х200мм, 300х300мм</t>
  </si>
  <si>
    <t>Вентилятор НАПОР-9-2,2х1500-2А34-01</t>
  </si>
  <si>
    <t>Стакан СТКВ-ВО-9</t>
  </si>
  <si>
    <t>Клапан обратный ВО-9</t>
  </si>
  <si>
    <t>Кожух всепогодный ВО-9</t>
  </si>
  <si>
    <t>Розетка штепсельная сдвоенная с защитными шторками IP54 16А 220В</t>
  </si>
  <si>
    <t>Розетка 124 стационарная 3Р+РЕ 32А 380В IP44 IEK</t>
  </si>
  <si>
    <t>Выключатель одноклавишный  скрытой установки IP54 220В, 16А</t>
  </si>
  <si>
    <t>Выключатель двухклавишный скрытой установки IP20 220В, 16А</t>
  </si>
  <si>
    <t>Светильник люминесцентный непостоянного действия IP65 мощностью 10Вт</t>
  </si>
  <si>
    <t>Светильник люминесцентный встраиваемый мощностью 72Вт ЛВО05-4х18-041 OPL</t>
  </si>
  <si>
    <t>Светильник люминесцентный мощностью 72Вт ЛВО05-4х18-021 OPL</t>
  </si>
  <si>
    <t>Светильник люминесцентный встраиваемый мощностью 72Вт ЛВО05-4х18-0,31 WP HF</t>
  </si>
  <si>
    <t>Светильник люминесцентный мощностью 36Вт ЛБО85-2х18-201 Tablette</t>
  </si>
  <si>
    <t>Кабель силовой огнестойкий с  медными жилами в изоляции и ПВХ оболочке с пониженным дымовыделением и низкой токсичностью продуктов пиролиза ВВГ(нг-FRLSLTx)-5х1,5</t>
  </si>
  <si>
    <t>Кабель силовой огнестойкий с  медными жилами в изоляции и ПВХ оболочке с пониженным дымовыделением и низкой токсичностью продуктов пиролиза ВВГ(нг-FRLSLTx)-5х2,5</t>
  </si>
  <si>
    <t>Кабель силовой с медными жилами в изоляции и ПВХ оболочке с пониженным дымовыделением и низкой токсичностью продуктов пиролиза ВВГ(нг-LSLTx)-5х50</t>
  </si>
  <si>
    <t>Кабель силовой с медными жилами в изоляции и ПВХ оболочке с пониженным дымовыделением и низкой токсичностью продуктов пиролиза ВВГ(нг-LSLTx)-5х10</t>
  </si>
  <si>
    <t>Кабель силовой с медными жилами в изоляции и ПВХ оболочке с пониженным дымовыделением и низкой токсичностью продуктов пиролиза ВВГ(нг-LSLTx)-5х6</t>
  </si>
  <si>
    <t>Кабель силовой с медными жилами в изоляции и ПВХ оболочке с пониженным дымовыделением и низкой токсичностью продуктов пиролиза ВВГ(нг-LSLTx)-5х1,5</t>
  </si>
  <si>
    <t>Кабель силовой огнестойкий с  медными жилами в изоляции и ПВХ оболочке с пониженным дымовыделением и низкой токсичностью продуктов пиролиза ВВГ(нг-FRLSLTx)-5х25</t>
  </si>
  <si>
    <t>Кабель силовой с медными жилами в изоляции и ПВХ оболочке с пониженным дымовыделением и низкой токсичностью продуктов пиролиза ВВГ(нг-LSLTx)-5х4</t>
  </si>
  <si>
    <t>Кабель силовой с медными жилами в изоляции и ПВХ оболочке с пониженным дымовыделением и низкой токсичностью продуктов пиролиза ВВГ(нг-LSLTx)-3х1,5</t>
  </si>
  <si>
    <t>Кабель силовой огнестойкий с  медными жилами в изоляции и ПВХ оболочке с пониженным дымовыделением и низкой токсичностью продуктов пиролиза ВВГ(нг-FRLSLTx)-3х1,5</t>
  </si>
  <si>
    <t>Кабель силовой огнестойкий с  медными жилами в изоляции и ПВХ оболочке с пониженным дымовыделением и низкой токсичностью продуктов пиролиза ВВГ(нг-FRLSLTx)-5х4</t>
  </si>
  <si>
    <t>Кабель силовой огнестойкий с  медными жилами в изоляции и ПВХ оболочке с пониженным дымовыделением и низкой токсичностью продуктов пиролиза ВВГ(нг-FRLSLTx)-4х1,5</t>
  </si>
  <si>
    <t>Кабель силовой огнестойкий с  медными жилами в изоляции и ПВХ оболочке с пониженным дымовыделением и низкой токсичностью продуктов пиролиза ВВГ(нг-FRLSLTx)-5х6</t>
  </si>
  <si>
    <t>Кабель силовой с медными жилами в изоляции и ПВХ оболочке с пониженным дымовыделением и низкой токсичностью продуктов пиролиза ВВГ(нг-LSLTx)-5х35</t>
  </si>
  <si>
    <t>Кабель силовой с медными жилами в изоляции и ПВХ оболочке с пониженным дымовыделением и низкой токсичностью продуктов пиролиза ВВГ(нг-LSLTx)-5х2,5</t>
  </si>
  <si>
    <t>Кабель силовой с медными жилами в изоляции и ПВХ оболочке с пониженным дымовыделением и низкой токсичностью продуктов пиролиза ВВГ(нг-LSLTx)-3х2,5</t>
  </si>
  <si>
    <t>Кабель силовой огнестойкий с  медными жилами в изоляции и ПВХ оболочке с пониженным дымовыделением и низкой токсичностью продуктов пиролиза КГВВнг(А)-LS 1х16</t>
  </si>
  <si>
    <t>Соединитель универсальный пруток-пруток d-8мм NG3104CU DKC</t>
  </si>
  <si>
    <t>Держатель фасадный прутка медного диаметром 8мм</t>
  </si>
  <si>
    <t>Вводно-распределительное устройство ВРУ напольный (2000х800х600)</t>
  </si>
  <si>
    <t>Панель противопожарных устройств ППУ напольный(2000х800х600)</t>
  </si>
  <si>
    <t>Щит распределительный 0ЩР навесной (800х600х400)</t>
  </si>
  <si>
    <t>Щит распределительный ЩР-ИТП навесной (800х600х400)</t>
  </si>
  <si>
    <t>Щит распределительный ЩР-005 навесной (800х600х400)</t>
  </si>
  <si>
    <t>Щит распределительный 1ЩР1 встраиваемый (800х600х400)</t>
  </si>
  <si>
    <t>Щит распределительный 1ЩР2 встраиваемый (800х600х400)</t>
  </si>
  <si>
    <t>Щит распределительный 1ЩР3 встраиваемый (800х600х400)</t>
  </si>
  <si>
    <t>Щит распределительный 1ЩР4 встраиваемый (800х600х400)</t>
  </si>
  <si>
    <t>Щит распределительный 2ЩР1 встраиваемый (800х600х400)</t>
  </si>
  <si>
    <t>Щит распределительный 2ЩР2 встраиваемый (800х600х400)</t>
  </si>
  <si>
    <t>Щит аварийного освещения 1ЩАО встраиваемый (600х400х300)</t>
  </si>
  <si>
    <t>Щит аварийного освещения 2ЩАО встраиваемый(600х400х300)</t>
  </si>
  <si>
    <t>Щит вентиляции 0ЩВ навесной (800х600х400)</t>
  </si>
  <si>
    <t>Щит наружного освещения  ЩНО навесной (800х600х400)</t>
  </si>
  <si>
    <t>Шкаф автоматического ввода резерва АВР 125 А 2 ввода  3ф IP31 навесной</t>
  </si>
  <si>
    <t>Отопительный прибор стальной панельный, 33V1 300х1300 "Лидея"</t>
  </si>
  <si>
    <t>Отопительный прибор стальной панельный, 33V1 300х1400 "Лидея"</t>
  </si>
  <si>
    <t>Отопительный прибор стальной панельный, 33V1 300х1500 "Лидея"</t>
  </si>
  <si>
    <t>Экран декоративный для радиатора 11V1 500х900</t>
  </si>
  <si>
    <t>Экран декоративный для радиатора11V1 500х1000</t>
  </si>
  <si>
    <t>Экран декоративный для радиатора 22V1 300х1400</t>
  </si>
  <si>
    <t>Экран декоративный для радиатора 22V1 300х1600</t>
  </si>
  <si>
    <t>Экран декоративный для радиатора 22V1 500х500</t>
  </si>
  <si>
    <t>Экран декоративный для радиатора 22V1 500х700</t>
  </si>
  <si>
    <t>Экран декоративный для радиатора 22V1 500х800</t>
  </si>
  <si>
    <t>Экран декоративный для радиатора 22V1 500х900</t>
  </si>
  <si>
    <t>Экран декоративный для радиатора 22V1 500х1000</t>
  </si>
  <si>
    <t>Экран декоративный для радиатора 22V1 500х1100</t>
  </si>
  <si>
    <t>Экран декоративный для радиатора 22V1 500х1200</t>
  </si>
  <si>
    <t>Экран декоративный для радиатора 33V1 300х1200</t>
  </si>
  <si>
    <t>Экран декоративный для радиатора 33V1 300х1300</t>
  </si>
  <si>
    <t>Экран декоративный для радиатора 33V1 300х1500</t>
  </si>
  <si>
    <t>Экран декоративный для радиатора 33V1 500х900</t>
  </si>
  <si>
    <t>Экран декоративный для радиатора 33V1 500х1100</t>
  </si>
  <si>
    <t>Экран декоративный для радиатора 33V1 500х1300</t>
  </si>
  <si>
    <t>Экран декоративный для радиатора 33V1 500х1400</t>
  </si>
  <si>
    <t>Экран декоративный для радиатора 33V1 500х1500</t>
  </si>
  <si>
    <t>Экран декоративный для радиатора 33V1 500х2000</t>
  </si>
  <si>
    <t>Узел подключения, проходной ГЕРЦ-3000 "PROGEKT"</t>
  </si>
  <si>
    <t>Труба полипропиленновая PPR армированная сваренным алюминием ф20х3.4</t>
  </si>
  <si>
    <t>Труба полипропиленновая PPR армированная сваренным алюминием ф25х4.2</t>
  </si>
  <si>
    <t>Труба полипропиленновая PPR армированная сваренным алюминием ф32х5.4</t>
  </si>
  <si>
    <t>Труба полипропиленновая PPR армированная сваренным алюминием ф40х6.7</t>
  </si>
  <si>
    <t>Труба полипропиленновая PPR армированная сваренным алюминием ф50х8.3</t>
  </si>
  <si>
    <t>Труба полипропиленновая PPR армированная сваренным алюминием ф63х10.5</t>
  </si>
  <si>
    <t>Труба полипропиленновая PPR армированная сваренным алюминием ф75х12.5</t>
  </si>
  <si>
    <t>Модуль управления для системы напольного отопления COMPACTFLOOR light</t>
  </si>
  <si>
    <t>Резьбовой фитинг системы HERZ PE-Xc ф18x2.5</t>
  </si>
  <si>
    <t>Контейнер вертикальный для хранения  и транспортирвки люминесцентных ламп , диаметр 450 мм, высота 1200 мм, КТЛ-40</t>
  </si>
  <si>
    <t>Кровать детская с цветными спинками. 1240x650x670 мм</t>
  </si>
  <si>
    <t>Экран для проектора 71" (180см) 890х1570мм</t>
  </si>
  <si>
    <t>Доска поворотная магнитная (комбинированная) 1000*1500 мм</t>
  </si>
  <si>
    <t>Стол учительский (для воспитателя), 1200x600x750мм</t>
  </si>
  <si>
    <t>Стол детский 4-х местный регулируемый. 700x700x340-580 мм</t>
  </si>
  <si>
    <t>Стул воспитателя (черный)</t>
  </si>
  <si>
    <t>Стул детский , 270x290x180 мм</t>
  </si>
  <si>
    <t>Стул детский , 270x290x220 мм</t>
  </si>
  <si>
    <t>Стеллаж для игрушек (уличного инвентаря) бООхЗООх1770 мм  / 800*400*1500</t>
  </si>
  <si>
    <t>Шкаф для горшков 20 секций,1350x320x1050мм "СОТЫ" /1380*340*920</t>
  </si>
  <si>
    <t>Шкаф для белья, 4 полки 796х610х1960 мм</t>
  </si>
  <si>
    <t>Стол,полка сплошная оцинк, 600x600x750мм СП Л</t>
  </si>
  <si>
    <t>Тумба двухдверная, МДФ, 600x600x850 мм К.Т-60 группа 2</t>
  </si>
  <si>
    <t>Тумба с 2-ной мойкой (мойка- нерж. сталь, 2 двери), 600x600x850 мм</t>
  </si>
  <si>
    <t>Шкаф- сушка,навесной, 2-х дверный, 600x320x720 мм</t>
  </si>
  <si>
    <t>Шкаф детский для одежды 5 секций,  1390*420*1300</t>
  </si>
  <si>
    <t>Шкаф гардеробный, 798x418x1960</t>
  </si>
  <si>
    <t>Компьютер (экран ЖК, монитор, процессор, "мышь", клавиатура)</t>
  </si>
  <si>
    <t>Скамья к шкафу детскому для одежды 5 секций. 1354x300x200 мм</t>
  </si>
  <si>
    <t>Игровая зона,1000x630x500 мм</t>
  </si>
  <si>
    <t>Стул (черный) изо хром</t>
  </si>
  <si>
    <t>Проектор, 4:3, проекционное отношение 1,9-2,09 АсегХ</t>
  </si>
  <si>
    <t>Вешалка для полотенец навесная 10 секций 700х140х800 мм</t>
  </si>
  <si>
    <t>МФУ (монохромный лазерный принтер скопиром и сканером, формат А4, 40?х3г&gt;8х163 мм "Brother DCP"</t>
  </si>
  <si>
    <t>Музыкальный аудиосистема LG CM</t>
  </si>
  <si>
    <t>Тумба подкатная, 910x490x634 мм</t>
  </si>
  <si>
    <t>Шкаф хозяйственный (для уборочного инвентаря), 600x500x1850 мм</t>
  </si>
  <si>
    <t>Шкаф хозяйственный (для дез.средств 600x500x1850 мм)</t>
  </si>
  <si>
    <t>Стенка, 2500x400x1454 мм</t>
  </si>
  <si>
    <t>Горка игровая,1400х1400х800 мм</t>
  </si>
  <si>
    <t>Игровая мебель 1500х400х450мм</t>
  </si>
  <si>
    <t>Игровая зона кухня, 1280х420х1100 мм</t>
  </si>
  <si>
    <t>Уголок спортивный, 1100x420x1050</t>
  </si>
  <si>
    <t>Качающийся стул, 600х300х500 мм</t>
  </si>
  <si>
    <t>Стеллаж 1200х480х1500мм</t>
  </si>
  <si>
    <t>Уголок "Изо", 1200х420х1350 мм</t>
  </si>
  <si>
    <t>Короб для хранения игрушек, 500х300х300 мм</t>
  </si>
  <si>
    <t>Сухой бассейн квадратный с дидактикой, 1300х1300х300 мм</t>
  </si>
  <si>
    <t>Стол журнальный, 1000x550x610 мм</t>
  </si>
  <si>
    <t>Кровать детская одноярусная, 1440x650x670 мм</t>
  </si>
  <si>
    <t>Стол письменный (левый), 1590x1000x750 мм</t>
  </si>
  <si>
    <t>Подставка под системный блок, 520x274x234 мм</t>
  </si>
  <si>
    <t>Тумба приставная, 430x550x750 мм, 4 ящика</t>
  </si>
  <si>
    <t>Стол 800х600х850 мм</t>
  </si>
  <si>
    <t>Диван</t>
  </si>
  <si>
    <t>Кресло офисное</t>
  </si>
  <si>
    <t>Шкаф хозяйственный (для уборочного инвентаря и дез.средств), 600х500х18</t>
  </si>
  <si>
    <t>Шкаф для одежды 2 секции 530х500х1850 мм</t>
  </si>
  <si>
    <t>Сушилка для рук</t>
  </si>
  <si>
    <t>Дозатор для жидкого мыла, объем 500 мл</t>
  </si>
  <si>
    <t>Ларь для грязного белья, 800х600х1000мм</t>
  </si>
  <si>
    <t>Стол нержавеющий для сортировки белья, 1200х600х850</t>
  </si>
  <si>
    <t>Тележка для белья межоперационная, 100л, 630х485х800мм</t>
  </si>
  <si>
    <t>Тележка для мокрого белья (со сливом), 280л, 850х625х750мм, нерж. Сталь</t>
  </si>
  <si>
    <t>Стирально-отжимная машина, загрузка 10кг, 810х790х1310мм</t>
  </si>
  <si>
    <t>Сушильная машна, загрузка 10кг, 20кг/час, 540м3/ч, диаметр патрубка 150мм, 805х860х1390мм</t>
  </si>
  <si>
    <t>Гладильный стол (комплект-утюг, гладильный стол, парогенератор, ваакуумный вентилятор), 1100х420х920мм</t>
  </si>
  <si>
    <t>Каток гладильный односторонний, 20кг/ч, 1380х420х920</t>
  </si>
  <si>
    <t>Стул (черный)</t>
  </si>
  <si>
    <t>Шкаф хозяйственный металлический, 600x500x1860 мм</t>
  </si>
  <si>
    <t>Шкаф для одежды 2 секции, 530x500x1850 мм ШРЭК-22-530</t>
  </si>
  <si>
    <t>Холодильник бытовой, 600х625х1800 мм</t>
  </si>
  <si>
    <t>Комплект кухонной мебели, длина 12100 мм, (стол-тумбы,шкафы навесные) 2100х2200мм</t>
  </si>
  <si>
    <t>Стол обеденный, 1200х800х750 мм</t>
  </si>
  <si>
    <t>Стул для обеденного стола</t>
  </si>
  <si>
    <t>Тележка грузовая платформенная, г/п=300 кг, 1000х600х1000 мм</t>
  </si>
  <si>
    <t>Тележка сервировочная, 800х500х850 мм</t>
  </si>
  <si>
    <t>Зонт вытяжной островной, нерж.сталь 1600x1200x400 мм</t>
  </si>
  <si>
    <t>Шкаф холодильный среднетемпературный, У=700л, с металлическими дверями, t=0 °С...+6°С, 697x895x2028 мм POLAIR ШХ-0,7</t>
  </si>
  <si>
    <t>Шкаф морозильный (низкотемпературный), объем: 500 л, с металлическими дверями, t=-18 . -24 С, 697x665x2028 мм POLAIR LUX-0,5 (CB 105-S)</t>
  </si>
  <si>
    <t>Шкаф холодильный среднетемпературный, V=470 л, с металлическими дверями, t=0 °С...+6°С, 697x665x2028 м POLAIR LUX-0,5 (CM 105-S)</t>
  </si>
  <si>
    <t>Стеллаж, 4 полки сплошные нерж.0.8 мм каркас-уголок оцинк. 1000x500x1800 мм</t>
  </si>
  <si>
    <t>Стеллаж, 4 полки сплошные нерж.0.8 мм каркас-уголок оцинк. 600x500x1800 мм</t>
  </si>
  <si>
    <t>Подтоварник Пт комбиниров., каркас-уголок оцинк. 900x600x300 мм Пт</t>
  </si>
  <si>
    <t>Зонт вытяжной пристенный, нерж.стал 1000x1200x400 мм 3BH-03</t>
  </si>
  <si>
    <t>Картофелечистка, загрузка 10 кг, производительность 300 кгАч, 596x588x879 мм ATESY "Тайфун-МО K-300A</t>
  </si>
  <si>
    <t>Стол производственный, борт, полка сплошная оцинк. каркас-уголок оцинк., 600x700x850мм СПЛ</t>
  </si>
  <si>
    <t>Стол производственный, борт, полка сплошная оцинк. каркас-уголок оцинк. 900x700x850мм СПЛ</t>
  </si>
  <si>
    <t>Стол производственный, борт, полка сплошная оцинк. каркас-уголок оцинк., 1200x700x850мм СПЛ</t>
  </si>
  <si>
    <t>Машина овощерезательная, 485x292x525 mm,Q=250 кг/ч МКО-50</t>
  </si>
  <si>
    <t>Полка настенная сплошная, нержавеющая сталь, 1200x300x300 ПКО-50</t>
  </si>
  <si>
    <t>Бак для пищевых отходов с крышкой, 7 объем 25 л, диаметр 340 мм, Н=480 мм</t>
  </si>
  <si>
    <t>Ванна моечная для санитарной обработки яиц, четырехсекционная, каркас-уголок оцинк.,600x600x850 мм СПЛ  ВМЛя-1</t>
  </si>
  <si>
    <t>Стол производственный, борт, полка сплошная оцинк. каркас-уголок оцинк., 400x600x850мм</t>
  </si>
  <si>
    <t>Мясорубка электрическая, 580x520x420 мм,производительность 300 кг/ч МИМ-300 М</t>
  </si>
  <si>
    <t>Весы порционные. max предел взвешивания 25 Работает кг, min предел взвешивания 20 г, 260х287х137мм CAS AD-25</t>
  </si>
  <si>
    <t>Cушилка для досок, 5 ячеек, каркас-труба нерж.25х25, пруток, 600х300х315 мм</t>
  </si>
  <si>
    <t>Полка настенная сплошная, нержавеющая сталь, 60 Ох 300x300 мм Пко (600x300x300 мм)</t>
  </si>
  <si>
    <t>Облучатель бактерицидный настенный горизонтальный. 2 лампы. 942x162x52мм ОБН-150 Азов</t>
  </si>
  <si>
    <t>Стеллаж, 4 полки-решетки нерж.0.8 мм каркас-уголок оцинк.900х500x1830 мм СтПЛ (900x500x1830 мм)</t>
  </si>
  <si>
    <t>Стерилизатор для ножей, 465x145x605 мм СТУ-1-18-02</t>
  </si>
  <si>
    <t>Ванна моечная двухсекционная, увеличенная полка с отверстиями для смесителя на каждую мойку, борт, сифон 2 шт., каркас-уголок оцинк.,1450x750x850 мм (мойка 680x6480x400 мм) ВМЛ-2 (1450x7550x850 мм)</t>
  </si>
  <si>
    <t>Сковорода опрокдывающаяся электическая. 840x955x950 мм АВАТ ЭСК-90-0,47-70</t>
  </si>
  <si>
    <t>Электроплита (б конфорок, жарочный шаф, нерж.сталь),1475x895x860 мм АВАТ ЭП-6ЖШ-01</t>
  </si>
  <si>
    <t>Электрокотел, 841x1015x1030 мм, 100 л АВАТ КПЭМ-100/9Т</t>
  </si>
  <si>
    <t>Весы складские, max предел взвешивания 60/150 кг, дискретность 150 г, 360х580х765 мм</t>
  </si>
  <si>
    <t>Пароконвектомат, 840х800х1055мм,(10 гастроемк./против.,конвек./пар/комби)</t>
  </si>
  <si>
    <t>Подставка под пароконвектомат на гастроемкостей,840x700x670 мм ППК</t>
  </si>
  <si>
    <t>Универсальная кухонная машина с подставкой,920х590x1270 мм (нарезка,протирка, взбивание) У КМ-01</t>
  </si>
  <si>
    <t>Гастроемкость для пароконвектомата</t>
  </si>
  <si>
    <t>Настольный электрокипятильник, 100 л/час, проточного типа, 302x400x517 мм КЭН Д-100-03</t>
  </si>
  <si>
    <t>Тестомес, 912x480x1060 мм, съемная дежа 40 л Eksi ES-H-40</t>
  </si>
  <si>
    <t>Тележка-шпилька для противней 500x400 мм, 16 уровней, 560x420x1800мм</t>
  </si>
  <si>
    <t>Колода разрубочная 400-500, сварная подставка, дуб, диаметр 400-500 мм, высота 500 мм КР-500/700</t>
  </si>
  <si>
    <t>Стол -тумба (для хлеба), промежуточная полка, двери-купе, нерж.сталь,вентиляционные отверстия в боковых стенках, каркас-труба нерж.40х40, 900x600x850 мм  СТП</t>
  </si>
  <si>
    <t>Камера холодильная 1960х1960х2200 KXH-661 POLAIR  POLAIR</t>
  </si>
  <si>
    <t>Моноблок среднетемпературный MM-115SF  POLAIR  POLAIR</t>
  </si>
  <si>
    <t>Стеллаж кухонный 800х500х700 СТК-800/500 ATESY</t>
  </si>
  <si>
    <t>Контейнер для овощей с крышкой 800х500х700</t>
  </si>
  <si>
    <t>Стол ученический 2-х местный регулируемый по высоте и углу наклона столешницы, 1200x450x340-580 мм СР №1-3</t>
  </si>
  <si>
    <t>Стол детский одноместный регулируемый, 600x450x340-580 мм</t>
  </si>
  <si>
    <t>Стул детский , 270x290x260-340 мм СР№1-3</t>
  </si>
  <si>
    <t>Стеллаж, 1200x480x1500 мм</t>
  </si>
  <si>
    <t>Комплект стеллажей, 4 полки, 1000x500X2000 мм</t>
  </si>
  <si>
    <t>Проектор с потолочным креплением</t>
  </si>
  <si>
    <t>Тумба подкатная,700х450x610 мм</t>
  </si>
  <si>
    <t>Тумба приставная, 430x550x750 мм, 4 ящик</t>
  </si>
  <si>
    <t>Шкаф гардробный 798х610х1960 мм</t>
  </si>
  <si>
    <t>Шкаф (прозрачное стекло) 798х410х1960 мм</t>
  </si>
  <si>
    <t>Стол для врача однотумбовый, 3 ящика, 1300x600x750 мм</t>
  </si>
  <si>
    <t>Стул медицинский (искусст.кожа)</t>
  </si>
  <si>
    <t>Кушетка медицинская смотровая детская, 1500x610x570 мм</t>
  </si>
  <si>
    <t>Ширма медицинская 2-х секционная</t>
  </si>
  <si>
    <t>Столик процедурный, 630x470x930 мм, (колеса, металл)</t>
  </si>
  <si>
    <t>Шкаф медицинский одностворчатый, (металл/стекло), 600x400x1850 мм</t>
  </si>
  <si>
    <t>Холодильник фармацевтический, 610x600x1300 мм</t>
  </si>
  <si>
    <t>Рукомойник, 400х 400 мм</t>
  </si>
  <si>
    <t>Рециркулятор воздуха бактерицидныйнастенный, 410х110х105 мм"</t>
  </si>
  <si>
    <t>Облучатель бактерицидный настенный, 2 лампы (открытая и с экраном), 162х942х54 мм 0 БЫ-150 Азов</t>
  </si>
  <si>
    <t>Ростометр металлический РС-1</t>
  </si>
  <si>
    <t>Весы электронные напольные ВМ-150, 0-200кг, точн.50г, 550х400х805мм</t>
  </si>
  <si>
    <t>Шкаф архивный металлический медицинский, 915х370х1830</t>
  </si>
  <si>
    <t>Аппарат Ротта  с осветителем</t>
  </si>
  <si>
    <t>Спирометр (с ноутбуком)</t>
  </si>
  <si>
    <t>Сейф для медикаментов 510х510х1170мм</t>
  </si>
  <si>
    <t>Тумба медицинская подкатная металл, 420x490x710 мм HILFE МД ТП-2</t>
  </si>
  <si>
    <t>Лампа настольная для офтальмологических обследований</t>
  </si>
  <si>
    <t>Шкаф хозяйственный (для уборочного инвентаря и дез.средств),600х500х1850 LUPX-22 L600</t>
  </si>
  <si>
    <t>Телевизор, диагональ 42" (108 см) LED DEXP F</t>
  </si>
  <si>
    <t>Кронштейн для настенного крепления TV для d-42" DNS-4241</t>
  </si>
  <si>
    <t>Пианино 1500х750х1500</t>
  </si>
  <si>
    <t>Стул для клавишных Вестон</t>
  </si>
  <si>
    <t>Экран проекционный ручной 234х175мм, формат 3:4</t>
  </si>
  <si>
    <t>Сушка для рук 210х250х250, 1Ф 220В 1,8кВт СР-11</t>
  </si>
  <si>
    <t>Ящик для спортинвентаря деревянный, 800х600х150</t>
  </si>
  <si>
    <t>Детский спортивный комплекс (качели, кольца, канат, лестница, массажные ступени), 740x1650 и 1160x860 мм ДСКМ-2-8.06.Т 1 490.03-14</t>
  </si>
  <si>
    <t>Стенка гимнастическая шведская детская, 420*2280 мм Арт. 496</t>
  </si>
  <si>
    <t>Игровая зона, 1250x550x1700 мм Магазин СЮРПРИЗ</t>
  </si>
  <si>
    <t>Шкаф для одежды(для медкабинета), 400*500x1900 мм ШО-Л-02</t>
  </si>
  <si>
    <t>Бревно гимнастическое напольное мягкое с опорами, 2400x130x160 мм Арт. 6646</t>
  </si>
  <si>
    <t>Скамейка гимнастическая на деревянных ножках, длина 3000 мм Арт. 6782</t>
  </si>
  <si>
    <t>Мат детский напольный, 2000*1000x100 мм Арт. 8445</t>
  </si>
  <si>
    <t>Мат детский напольный, 1200*1000x80 мм Арт. 1875</t>
  </si>
  <si>
    <t>Комплект вертикальных стоек, для прыжков в высоту с перекладиной. высота 1,5 м Арт. У629</t>
  </si>
  <si>
    <t>Баскетбольное кольцо со щитом, 575x765x565 мм (крепление к стене)</t>
  </si>
  <si>
    <t>Стол детский, 1500x500x530 мм Дидактический</t>
  </si>
  <si>
    <t>Мостик деревянный большой, 2000х630х500 мм (цветной)</t>
  </si>
  <si>
    <t>Мольберт детский двусторонний с пеналом для детей от 2 до 5 лет</t>
  </si>
  <si>
    <t>Ноутбук</t>
  </si>
  <si>
    <t>Хореографический станок двухрядный</t>
  </si>
  <si>
    <t>Стул  (изо) серый для посетителей</t>
  </si>
  <si>
    <t>Емкость с крышкой для дезинфекции посуды, 8 л</t>
  </si>
  <si>
    <t>Огнетушитель переносной (углекислотный)</t>
  </si>
  <si>
    <t>Панель стальная оцинкованная структурированная КраспанМеталлКолор 175х2000-4000 (с шагом 200мм) порошковое покрытие ( RAL 7047)</t>
  </si>
  <si>
    <t>Панель стальная оцинкованная структурированная КраспанМеталлКолор 175х2000-4000 (с шагом 200мм) порошковое покрытие ( RAL 1015)</t>
  </si>
  <si>
    <t>Панель стальная оцинкованная структурированная КраспанМеталлКолор 175х2000-4000 (с шагом 200мм) порошковое покрытие ( RAL 5012 голубой)</t>
  </si>
  <si>
    <t>Панель стальная оцинкованная структурированная КраспанМеталлКолор 175х2000-4000 (с шагом 200мм) порошковое покрытие ( RAL 5021)</t>
  </si>
  <si>
    <t>Панель стальная оцинкованная структурированная КраспанМеталлКолор 175х2000-4000 (с шагом 200мм) порошковое покрытие ( RAL 2009)</t>
  </si>
  <si>
    <t>Панель стальная оцинкованная структурированная КраспанМеталлКолор 175х2000-4000 (с шагом 200мм) порошковое покрытие ( RAL 3014)</t>
  </si>
  <si>
    <t>Короб оконного, дверного откоса оцинкованный 0,5мм (ширина 0,6м)</t>
  </si>
  <si>
    <t>Отлив оконный оцинкованный 0,5мм (ширина 0,6м)</t>
  </si>
  <si>
    <t>Подсистема в комплекте для стеновых панелей</t>
  </si>
  <si>
    <t>Метизная группа</t>
  </si>
  <si>
    <t>Подсистема в комплекте для откосов и отливов</t>
  </si>
  <si>
    <t>Гидравлический разделитель Ø 250мм ГС-80 "Теплотех-Комплект"</t>
  </si>
  <si>
    <t>Сдвоенный циркуляционный насос Yonos MAXO-D 40/0,5-12 "Wilo"</t>
  </si>
  <si>
    <t>Сдвоенный циркуляционный насос TOP-S 25/5 "Wilo"</t>
  </si>
  <si>
    <t>Сдвоенный циркуляционный насос TOP-SD 30/5 "Wilo"</t>
  </si>
  <si>
    <t>Насос рециркуляции ГВС TOP-Z 30/7 "Wilo"</t>
  </si>
  <si>
    <t>Электропривод AMV 435  "Danfoss"</t>
  </si>
  <si>
    <t>Предохранительный клапан 1' Prescor "Flamсo"</t>
  </si>
  <si>
    <t>Магнитный резонатор для воды Ø40мм МГДР-40</t>
  </si>
  <si>
    <t>Емкостный водонагреватель V=750л OKC 750 NTRR "Drazice"</t>
  </si>
  <si>
    <t>Станция для гелиосистемы Drainback Sol Box-2 "Huch EnTec"</t>
  </si>
  <si>
    <t>Плоский солнечный коллектор FKF-270-V/H "Huch EnTec"</t>
  </si>
  <si>
    <t>Термометр 120°С, L=64мм БТ-71.211(0-120°С)G1/2. 64.1,5 "Росма"</t>
  </si>
  <si>
    <t>Манометр 0-1МПа ТМ-510Р.00(0-1МПа)G1/2 1.5 "Росма"</t>
  </si>
  <si>
    <t>Кран латунный трехходовой М20х1,5. G1/2 "Росма"</t>
  </si>
  <si>
    <t>Фильтр сетчатый фланцевый Ø 80мм, PN16 "Valtec"</t>
  </si>
  <si>
    <t>Фильтр сетчатый фланцевый Ø 50мм, PN16 "Valtec"</t>
  </si>
  <si>
    <t>Комплект креплений для вертикальных коллекторов FKF-270V "Huch EnTec"</t>
  </si>
  <si>
    <t>Комплект креплений консоли "Huch EnTec"</t>
  </si>
  <si>
    <t>Монтажный комплект концевых креплений к консолям "Huch EnTec"</t>
  </si>
  <si>
    <t>Монтажный комплект промежуточных креплений к консолям "Huch EnTec"</t>
  </si>
  <si>
    <t>Комплект гибких соединений между коллекторами Ду 22мм "Huch EnTec"</t>
  </si>
  <si>
    <t>Комплект переходников Ду 22мм х HP 3/4' "Huch EnTec"</t>
  </si>
  <si>
    <t>Теплоноситель для гелиосистемы 20л  PEKA Solar 50 Gelb</t>
  </si>
  <si>
    <t>Эмаль кремнийорганическая: КО-8104</t>
  </si>
  <si>
    <t>Кабель экранированный витая пара 2х0,75 КМВВЭ-2х0,75</t>
  </si>
  <si>
    <t>Кабель силовой огнестойкий безгалогенный 3х1,5 мм ППГНГ(А)-HFLTX</t>
  </si>
  <si>
    <t>Провод сечением 0,35 мм ПВМТ-40</t>
  </si>
  <si>
    <t>Блок преобразователя напряжения импульсный БПИ-ОХРА-Д-333</t>
  </si>
  <si>
    <t>Блок высоковольтного усилителя БВУ-ОХРА-Д-333</t>
  </si>
  <si>
    <t>Барьерный элемент БЭ ОХРА-Д-333</t>
  </si>
  <si>
    <t>Коробка распределительная с кабельными вводами IP 44,80х40 мм ДКС</t>
  </si>
  <si>
    <t>Колодка клеммная соединительная серии Квадро 3х4,2 мм В 63</t>
  </si>
  <si>
    <t>Адресный приемно-контрольный и управления пожарный прибор, РУБЕЖ-2ОП прот. R3</t>
  </si>
  <si>
    <t>Устройство оконечное обьектовое, УОО-ТЛ</t>
  </si>
  <si>
    <t>Адресный релейный модуль,РМ-4 прот. R3</t>
  </si>
  <si>
    <t>Блок индикации, Рубеж БИ</t>
  </si>
  <si>
    <t>Модуль управления клапаном дымоудаления,МДУ-1 прот. R3</t>
  </si>
  <si>
    <t>Пульт дистанционного питания,Рубеж ПДУ</t>
  </si>
  <si>
    <t>Аккумуляторная батарея, 12В, 12Ач "Delta" DTM1212</t>
  </si>
  <si>
    <t>Аккумуляторная батарея, 12В, 40Ач "Delta" DTM1240</t>
  </si>
  <si>
    <t>Извещатель пожарный дымовой адресно-аналоговый ИП212-64 прот. R3 (13 шт резерв)</t>
  </si>
  <si>
    <t>Извещатель пожарный тепловой,ИП 101-29 PR прот. R3 (1 резерв)</t>
  </si>
  <si>
    <t>Извещатель пожарный  ручной адресный,ИПР 513-11 прот. R3</t>
  </si>
  <si>
    <t>Изолятор шлейфа ИЗ-1  прот. R3</t>
  </si>
  <si>
    <t>Оповещатель охранно-пожарный световой адресный "Выход" ОПОП 1-R3</t>
  </si>
  <si>
    <t>Извещатель пожарный ручной "Пуск ДУ" УДП 513-11</t>
  </si>
  <si>
    <t>Светильник аккумуляторный аварийного освещения-люминисцентный SCAT LT 2330 LED</t>
  </si>
  <si>
    <t>Шкаф управления вентиляцией 3кВт, ШУВ-3-01-УПП R3</t>
  </si>
  <si>
    <t>Шкаф управления вентиляцией 5,5 кВт, ШУВ-0,75-01-УПП R3</t>
  </si>
  <si>
    <t>Шкаф управления вентиляцией 1,1 кВт,ШУВ-1,1-01-УПП R3</t>
  </si>
  <si>
    <t>Коробка универсальная 75х75х30, 40-0450</t>
  </si>
  <si>
    <t>Кабель-канал (TDM) 20х30х2000</t>
  </si>
  <si>
    <t>Герметик огнестойкий  нейтральный, картридж 0,4 кг (310мл),Силотерм ЭП-71</t>
  </si>
  <si>
    <t>Блок коммутации на 8 зон AN-X8 OMEGA</t>
  </si>
  <si>
    <t>Пульт диспетчера на 8 абонентов AN-CO8 OMEGA</t>
  </si>
  <si>
    <t>Абонентское устройство AN-BG OMEGA</t>
  </si>
  <si>
    <t>Дополнительный комплект системы вызова экстренной помощи AL-MGN2 OMEGA в составе: AL-DI - светозвуковой сигнализатор-1 шт., AL-СB - кнопка отмены вызова "Сброс"- 1шт., AL-RB-извещатель "Вызов" - 1 шт.</t>
  </si>
  <si>
    <t>Кабель питающий 3х1,5 ППГнг(А)-HFLT</t>
  </si>
  <si>
    <t>Кабель симметричный, парной скрутки, огнестойкие, повышенной пожаростойкости 1х2х0,5 КПСГЭнг(A)-FRHF LTx</t>
  </si>
  <si>
    <t>Кабель питающий 1х2,5 ППГнг(А)-HFLTx</t>
  </si>
  <si>
    <t>Кабель питающий 4х25 ППГнг(А)-HFLT</t>
  </si>
  <si>
    <t>Шкаф ШТ-НП-42U-600-600С</t>
  </si>
  <si>
    <t>IP-ATC Yeastar S20</t>
  </si>
  <si>
    <t>Кросс оптический ШКОС-Л-1U/2-8SC</t>
  </si>
  <si>
    <t>Управляемый коммутатор DGS-1510-52XMP</t>
  </si>
  <si>
    <t>Патч-панель РР48-2UС5ЕU-D05</t>
  </si>
  <si>
    <t>Оптический трансивер (SFP модуль) SFP+10G1310nm 20km LC DDM SMF</t>
  </si>
  <si>
    <t>Органайзер горизонтальный ОКО-19-1U</t>
  </si>
  <si>
    <t>Полка ПС-45</t>
  </si>
  <si>
    <t>Блок  розеток РН12-8 D3</t>
  </si>
  <si>
    <t>Шина заземления ШЗ 19</t>
  </si>
  <si>
    <t>Вентиляторный модуль 35С-ВМ-3П-ССД</t>
  </si>
  <si>
    <t>Аккумуляторная батарея (12V/100Ah) Delta DTM12100l</t>
  </si>
  <si>
    <t>ИБП Skat UPS 3000 RACK</t>
  </si>
  <si>
    <t>Розетка информационная CS2-1C5EU-12</t>
  </si>
  <si>
    <t>Телефон проводной SIP-T19 E2</t>
  </si>
  <si>
    <t>Конвертер ip Отзвук ПВ</t>
  </si>
  <si>
    <t>Антенна телевизионная Омега-ПРО</t>
  </si>
  <si>
    <t>Антенна телевизионная Вектор F</t>
  </si>
  <si>
    <t>Антенна телевизионная Лого-Р-9</t>
  </si>
  <si>
    <t>Мачта антенная алюминиевая серая 4,5 м, составная 3х1,5 м M45D3 в комплекте: колено длиной 1,5 м-3 шт.; пятка для крепления мачты - 1 шт.; юбка для крепления растяжек-1 шт.; комплект крепежа для сборки мачты - 1 шт.; стык колена мачты-2 шт.; проволока для оттяжек-18 м Изготовитель-АНТЭКС</t>
  </si>
  <si>
    <t>F-разъем для RG-11</t>
  </si>
  <si>
    <t>F-разъем для RG-6</t>
  </si>
  <si>
    <t>Усилитель сигнала Terra MA-024</t>
  </si>
  <si>
    <t>Ответвитель ТАН812 F</t>
  </si>
  <si>
    <t>Часы ЕСО.А.28.210</t>
  </si>
  <si>
    <t>Громкоговоритель абонентский для проводного радиовещания АГ-306</t>
  </si>
  <si>
    <t>Громкоговоритель абонентский АСР-06.1.2-30В</t>
  </si>
  <si>
    <t>Кабель оптический 8 волокон ДПЛ-нг(А)-FRHFLTx-08У (2х4)-2,7 кН</t>
  </si>
  <si>
    <t>Кабель коаксиальный РК75-7-327нг(А)-LSLTx</t>
  </si>
  <si>
    <t>Кабель коаксиальный РК75-4-348нг(А)-LSLTx</t>
  </si>
  <si>
    <t>Кабель KCВВнг(А)-LSLTx 1х2х0,38</t>
  </si>
  <si>
    <t>Кабель КПСнг(A)-FRLS 1х2х0,5</t>
  </si>
  <si>
    <t>Шнуры ШОС-SМ/2.0 мм-LC/UPC-SC/UPC-1 м</t>
  </si>
  <si>
    <t>Патч-корд UTP,PC01-C5EU-1M</t>
  </si>
  <si>
    <t>Разъем RJ45</t>
  </si>
  <si>
    <t>Ввод кабельный ВКУ-1</t>
  </si>
  <si>
    <t>Муфта оптическая МОГ-С-22-1К4845 ССД</t>
  </si>
  <si>
    <t>Блок-бокс котельной  R-9.091.128 + Узел R-11,  R-11.1.05.0801</t>
  </si>
  <si>
    <t>Закладная фундамента опоры ФМ 0,133-1,5</t>
  </si>
  <si>
    <t>Граненая опора освещения ОГКф-7 высотой 7 метров</t>
  </si>
  <si>
    <t>Кронштейн однорожковый  (фланец 80мм/ОГК) К1К-0,5-1,0</t>
  </si>
  <si>
    <t>Кронштейн двухрожковый  (фланец 80мм/ОГК) К2К-0,5-1,0</t>
  </si>
  <si>
    <t>Светодиодный консольный светильник мощностью 60Вт Village LED 60 Varton</t>
  </si>
  <si>
    <t>Коробка соединительная ЕК 480 G1S-2d</t>
  </si>
  <si>
    <t>Фотореле ФР602 2500W IP44, Серый</t>
  </si>
  <si>
    <t>Муфта кабельная концевая 4ПКТ(б)-1-70/120(Б)</t>
  </si>
  <si>
    <t>Соединитель стержень/полоса, 80х70 мм NG3116 DKC</t>
  </si>
  <si>
    <t>Щит распределительный  ЩУ, 400А (1200х800х300)</t>
  </si>
  <si>
    <t>Устройство УЗНК-II-8п ССД</t>
  </si>
  <si>
    <t>Установка шкафная ГРПШ-RG/2MB-2У1</t>
  </si>
  <si>
    <t>Блок коррекции объема газа, опция "система телеметрии с внешним питанием ФГ-2815" диапазон измерения абсолютного давления 0,08-1,0 МПа,ФЛОУГАЗ1А-П   с датчиком перепада давления +  Монтажный комплект Флоугаз + Счетчик газа ультразвуковой Курс 01Р-А1-G65</t>
  </si>
  <si>
    <t>Задвижка шиберная (ножевая) пластиковая ПЭ , Ду 160, PN 4 
Lareter</t>
  </si>
  <si>
    <t>Ж/б днище ПН15 ФУТ</t>
  </si>
  <si>
    <t>Ж/б кольца рабочей части КС15.6 ФУТ</t>
  </si>
  <si>
    <t>Ж/б кольца рабочей части КС15.9 ФУТ</t>
  </si>
  <si>
    <t>Ж/б плита перекрытия 1ПП15-1 ФУТ</t>
  </si>
  <si>
    <t>Ж/б плита перекрытия 1ПП15-2 ФУТ</t>
  </si>
  <si>
    <t>Горловина КС7-3 ФУТ</t>
  </si>
  <si>
    <t>Скоба ходовая "ЭКОВЭЛЛ",  ТУ 23.61.12-001-23107031-2017</t>
  </si>
  <si>
    <t>Ж/б днище ПН20 ФУТ</t>
  </si>
  <si>
    <t>Ж/б кольца рабочей части КС20.6 ФУТ</t>
  </si>
  <si>
    <t>Ж/б кольца рабочей части КС20.9 ФУТ</t>
  </si>
  <si>
    <t>Ж/б плита перекрытия 1ПП20-2 ФУТ</t>
  </si>
  <si>
    <t>Ж/б кольцо горловины КС7.3 ФУТ</t>
  </si>
  <si>
    <t>Ж/б днище ПН10 ФУТ</t>
  </si>
  <si>
    <t>Ж/б кольца рабочей части КС10.6 ФУТ</t>
  </si>
  <si>
    <t>Ж/б плита перекрытия ПП10-1 ФУТ</t>
  </si>
  <si>
    <t>Втулка для стыковой или электрофузионной сварки, Ø75 ПЭ 100 SDR 11</t>
  </si>
  <si>
    <t>Фланец расточенный для ПЭ Ø75 втулки Pу 1,0 Мпа</t>
  </si>
  <si>
    <t>Отвод односекторный Ø75- 90°, ПЭ 100 SDR 11</t>
  </si>
  <si>
    <t>Отвод односекторный Ø75- 60°, ПЭ 100 SDR 11</t>
  </si>
  <si>
    <t>Переход Ø75х63, ПЭ 100 SDR 13,6</t>
  </si>
  <si>
    <t>Тройник равнопроходной Ø75х75, ПЭ 100 SDR 13,6</t>
  </si>
  <si>
    <t>Муфта электросварная ПЭ 100 SDR 11 Ø63</t>
  </si>
  <si>
    <t>Фланец расточенный для ПЭ Ø63 втулки Pу 1,0 Мпа</t>
  </si>
  <si>
    <t>Отвод односекторный Ø63- 90°, ПЭ 100 SDR 11</t>
  </si>
  <si>
    <t>Тройник равнопроходной Ø63х63, ПЭ 100 SDR 13,6</t>
  </si>
  <si>
    <t>Счетчик крыльчатый мокроходный многоструйный холодной воды ВКМ-50Ф  М ДГ «РОСИЧ» Ду 50  QN15м3/ч класс А, присоединение фланцевое, степень защиты оболочки IP68. В комплекте: присоединительные части; герконовый датчик – для модификации ДГ</t>
  </si>
  <si>
    <t>Муфта для прохода трубы ПНД Ду63</t>
  </si>
  <si>
    <t>Муфта для прохода трубы ПНД Ду75</t>
  </si>
  <si>
    <t>Подставка под пожарный гидрант фланцевая ППФ 80х80</t>
  </si>
  <si>
    <t>Ж/б плита перекрытия 2ПП15-2 ФУТ</t>
  </si>
  <si>
    <t>Муфта электросварная ПЭ 100 SDR 11 Ø160</t>
  </si>
  <si>
    <t>Фланец расточенный для ПЭ Ø160 втулки Pу 1,0 Мпа</t>
  </si>
  <si>
    <t>Отвод односекторный Ø160- 90°, ПЭ 100 SDR 11</t>
  </si>
  <si>
    <t>Муфта электросварная ПЭ 100 SDR 11 Ø110</t>
  </si>
  <si>
    <t>Фланец расточенный для ПЭ Ø110 втулки Pу 1,0 Мпа</t>
  </si>
  <si>
    <t>Отвод односекторный Ø110- 90°, ПЭ 100 SDR 11</t>
  </si>
  <si>
    <t>Тройник равнопроходной Ø110х110, ПЭ 100 SDR 13,6</t>
  </si>
  <si>
    <t>Муфта для прохода трубы ПНД Ду160 (L=150мм, вес 1шт-1,05кг )</t>
  </si>
  <si>
    <t>Подставка под пожарный гидрант односторонняя фланцевая ППОФ 100*100</t>
  </si>
  <si>
    <t>На каждые 10 мм изменения глубины сверления добавлять или исключать: к расценке 46-03-013-01 (К=-10 к глубине сверления)</t>
  </si>
  <si>
    <t>На каждые 10 мм изменения глубины сверления добавлять или исключать: к расценке 46-03-013-01  (К=-8 к глубине сверления)</t>
  </si>
  <si>
    <t>Лоток КЛ 60-45, L=3000 мм (Л2), с 4904-66 Выпуск 1 (0,88м3)</t>
  </si>
  <si>
    <t>Угол поворота канала (УПК-2), с 4904-66 Выпуск 1  (0,59м3)</t>
  </si>
  <si>
    <t>Маты компенсационные (демпфирующие) 2х0,3х0,045</t>
  </si>
  <si>
    <t>Труба Тб Ст 57х3,0-1-ППУ-ПЭ</t>
  </si>
  <si>
    <t>Муфта термоусаживаемая для труб Ст 57х3,0-1-ППУ-ПЭ</t>
  </si>
  <si>
    <t>Труба Тб Ст 89х4,0-1-ППУ-ПЭ</t>
  </si>
  <si>
    <t>Муфта термоусаживаемая для труб Ст 89х4,0-1-ППУ-ПЭ</t>
  </si>
  <si>
    <t>Комплект заделки стыка 89х4,0-ППУ-ПЭ</t>
  </si>
  <si>
    <t>Отвод Ст 89х4,0-90-1-ППУ-ПЭ-1000</t>
  </si>
  <si>
    <t>Тройник Ст89х4/57х3-1-ППУ-ПЭ</t>
  </si>
  <si>
    <t>Неподвижная опора Ст 89-295х15-1-ППУ ПЭ ГОСТ 30732-2006</t>
  </si>
  <si>
    <t>Концевая заглушка изоляции 89-1-ППУ-ПЭ</t>
  </si>
  <si>
    <t>Опора неподвижная четырехупорная ТС-66.101 СБ серия 5.903-13 (двухупорная)</t>
  </si>
  <si>
    <t>Изоляция ППУ-ПЭ (скорлупы) 89/160</t>
  </si>
  <si>
    <t>Футляр из труб стальных электросварных термообработанных ф273х7,0 с изоляцией усиленного типа L=500мм</t>
  </si>
  <si>
    <t>Изолированный шаровый кран "Бивал" с металлической заглушкой изоляции СТ 57-1-ППУ-ПЭ-140,А=1.6м</t>
  </si>
  <si>
    <t>На каждый последующий проход по одному следу добавлять: к расценке 01-02-003-13 (К=7)</t>
  </si>
  <si>
    <t>На каждый последующий проход по одному следу добавлять: к расценке 01-02-003-13 (К=5)</t>
  </si>
  <si>
    <t>Геосетка СС 50/50 с разрывной нагрузкой кН/м2, 50х50</t>
  </si>
  <si>
    <t>На каждые 0,5 см изменения толщины покрытия добавлять или исключать: к расценке 27-06-020-06 (К=6 до толщины 7 см)</t>
  </si>
  <si>
    <t>На каждые 0,5 см изменения толщины покрытия добавлять или исключать: к расценке 27-06-020-01 (К=2 до толщины 5 см)</t>
  </si>
  <si>
    <t>На каждый 1 см изменения толщины оснований добавлять или исключать к расценке 27-07-002-01 К=3 до толщины 15 см)</t>
  </si>
  <si>
    <t>Тактильная плитка для улиц 500х500 "Продольный риф"</t>
  </si>
  <si>
    <t>Тактильная плитка для улиц 500х500 "Диагональный риф"</t>
  </si>
  <si>
    <t>Тактильная плитка конусообразная для улиц 500х500</t>
  </si>
  <si>
    <t>Клей полиуретановый 2х компонентный HOMA PROF 798 2k PU</t>
  </si>
  <si>
    <t>Покрытие Регупол, толщиной 5 см</t>
  </si>
  <si>
    <t>На каждые 5 см изменения толщины слоя добавлять или исключать к расценкам с 47-01-046-01 по 47-01-046-04 (К=-5 до толщины10 см)</t>
  </si>
  <si>
    <t>Скамейка детская "Львёнок" (1000х673х941) КСИЛ 002407</t>
  </si>
  <si>
    <t>Скамейка детская "Касатка" (1871х719х1118) КСИЛ 002414</t>
  </si>
  <si>
    <t>Скамейка детская "Крокодил"(1840х700х1030) КСИЛ 002403</t>
  </si>
  <si>
    <t>Урна деревянная (420х420х684)</t>
  </si>
  <si>
    <t>Стойка для сушки белья (3065x600x1930) КСИЛ 006715/001</t>
  </si>
  <si>
    <t>Стойка для чистки ковров (2000х1020х2030) КСИЛ 006716/001</t>
  </si>
  <si>
    <t>Стол со скамьями детский (1478х1197х575) КСИЛ 002606</t>
  </si>
  <si>
    <t>ДИК "Лесная сказка" (3205х2020х2400) КСИЛ 005218</t>
  </si>
  <si>
    <t>ДИК "Восточная сказка" (3205х2020х2400) КСИЛ 005228</t>
  </si>
  <si>
    <t>ДИК "Золотая рыбка" (3205х2020х2400) КСИЛ 005285</t>
  </si>
  <si>
    <t>ДИК "Мини-крепость"  (3205х2020х2400) КСИЛ 005292-01</t>
  </si>
  <si>
    <t>ДИК "Лесная сказка" (3205х2910х2700) КСИЛ 005219</t>
  </si>
  <si>
    <t>ДИК (тип 2) (5700х4770х3510) КСИЛ 005304/004</t>
  </si>
  <si>
    <t>Качалка на пружине "Мотоцикл"(990х355х970) КСИЛ 004112</t>
  </si>
  <si>
    <t>Качалка на пружине "Скутер" (1033х380х940) КСИЛ 004124</t>
  </si>
  <si>
    <t>Качалка на пружине "Дельфин" (820х466х709) КСИЛ 004121</t>
  </si>
  <si>
    <t>ДИК "ДПС" (5030х7685х3690) КСИЛ 004751</t>
  </si>
  <si>
    <t>ДСК (3800х1525х2300) КСИЛ 006112</t>
  </si>
  <si>
    <t>Дорожка "Змейка" (2340х885х330) КСИЛ 006199</t>
  </si>
  <si>
    <t>Стенка для метания (225х1200х1200) КСИЛ 006725</t>
  </si>
  <si>
    <t>Песочница с крышкой (2000х2000х379) КСИЛ 004236</t>
  </si>
  <si>
    <t>Секция заграждения "МАХАОН-С150" ДАБР.425729.098-03 (RAL 6005) Высота
секции над уровнем грунта 2,2 м, противоподкопное заглубление не
предусмотрено, длина 3,13 м.Комплект поставки:1. Панель сварная «МАХАОН-С150» (высота 1,1 м и длина 3,09м, ячейка 50х150 мм)-2 шт. 2. Опора из профильной трубы с фланцевым соединением 82х80мм-1 шт. 3. Элементы крепления-1 комплект. Масса: 44,5 кг. Все элементы выполнены из горячеоцинкованной стали и покрыты полимерным материалом</t>
  </si>
  <si>
    <t>Ворота распашные двустворчатые «МАХАОН – стандарт» 4 м
ДАБР.425711 .019 (с калиткой)</t>
  </si>
  <si>
    <t>Теневой навес в комплекте  без учета сборки и монтажа</t>
  </si>
  <si>
    <t>Велопарковка на 8 мест</t>
  </si>
  <si>
    <t>Парковка самокатов на 19 мест</t>
  </si>
  <si>
    <t>РАСЧЕТ ИНДЕКСОВ ИНФЛЯЦИИ</t>
  </si>
  <si>
    <t>«Строительство дошкольной образовательной организации в с. Мирновка на 150 мест по ул. Интернациональная Джанкойского района»</t>
  </si>
  <si>
    <t>Июнь 2024 / Июнь 2023</t>
  </si>
  <si>
    <t>105,51%</t>
  </si>
  <si>
    <t>Июль 2024 / Июнь 2024</t>
  </si>
  <si>
    <t>Август 2024 / Июль 2024</t>
  </si>
  <si>
    <t>Сентябрь 2024 / Август 2024</t>
  </si>
  <si>
    <t>на 2025 год</t>
  </si>
  <si>
    <t>К на 2025 год</t>
  </si>
  <si>
    <t>_______________________ А.Н. Карасев</t>
  </si>
  <si>
    <t>/А.Н. Карасев/</t>
  </si>
  <si>
    <t xml:space="preserve">Расчет составил:   </t>
  </si>
  <si>
    <t>Ведущий инженер ОКС №5 ДСО ГКУ "Инвестстрой Республики Крым"________________________</t>
  </si>
  <si>
    <t>/Р.Р. Абдураманов/</t>
  </si>
  <si>
    <t>Расчет проверил:</t>
  </si>
  <si>
    <t>Страна происхождения оборудования</t>
  </si>
  <si>
    <r>
      <t xml:space="preserve">Стоимость работ в ценах на дату формирования начальной (максимальной) цены контракта "месяц" сентябрь, "год" </t>
    </r>
    <r>
      <rPr>
        <u/>
        <sz val="12"/>
        <rFont val="Times New Roman"/>
        <family val="1"/>
        <charset val="204"/>
      </rPr>
      <t>2024</t>
    </r>
  </si>
  <si>
    <t>Индекс прогнозный инфляции на период выполнения работ, 
6 мес.</t>
  </si>
  <si>
    <t>Сентябрь 2025</t>
  </si>
  <si>
    <t>Ноябрь 2024 / Октябрь 2024</t>
  </si>
  <si>
    <t>Декабрь 2024 / Ноябрь 2024</t>
  </si>
  <si>
    <t>Февраль 2025 / Январь 2025</t>
  </si>
  <si>
    <t>Январь 2025 / Декабрь 2024</t>
  </si>
  <si>
    <t>Март 2025 / Февраль 2025</t>
  </si>
  <si>
    <t>¹²√1,078</t>
  </si>
  <si>
    <t>Октябрь 2024 / Сентябрь 2024</t>
  </si>
  <si>
    <t>Приказ об утверждении проектной документации, включая сводный сметный расчет стоимости строительства объекта, от 15.09.2023 №230</t>
  </si>
  <si>
    <t>при осуществлении закупки на оказание услуг строительного контроля по объекту:</t>
  </si>
  <si>
    <t>к Государственному контракту  от " __ " ___________ 2025 г. № ________</t>
  </si>
  <si>
    <t>" ____ " _______________ 2025 г.</t>
  </si>
  <si>
    <t>Начало строительства сентябрь 2025 г.</t>
  </si>
  <si>
    <t>Продолжительность строительства - с момента заключения контракта 8 мес.</t>
  </si>
  <si>
    <t xml:space="preserve">Заказчик </t>
  </si>
  <si>
    <t>"Утвержден" «     »______________________20__ г.</t>
  </si>
  <si>
    <t>СВОДНЫЙ СМЕТНЫЙ РАСЧЕТ СТОИМОСТИ СТРОИТЕЛЬСТВА № ССРСС-</t>
  </si>
  <si>
    <t>№ пп</t>
  </si>
  <si>
    <t xml:space="preserve">строительных
(ремонтно- строительных, ремонтно- реставрационных) работ
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</si>
  <si>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</si>
  <si>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</si>
  <si>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</si>
  <si>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</si>
  <si>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</si>
  <si>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</si>
  <si>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</si>
  <si>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</si>
  <si>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</si>
  <si>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</si>
  <si>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</si>
  <si>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</si>
  <si>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</si>
  <si>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</si>
  <si>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</si>
  <si>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</si>
  <si>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</si>
  <si>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</si>
  <si>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</si>
  <si>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</si>
  <si>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</si>
  <si>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</si>
  <si>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</si>
  <si>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</si>
  <si>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</si>
  <si>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</si>
  <si>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</si>
  <si>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</si>
  <si>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</si>
  <si>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</si>
  <si>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</si>
  <si>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</si>
  <si>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40</t>
  </si>
  <si>
    <t xml:space="preserve">Приказ Минстроя России от 19.06.2020 г. № 332/пр. </t>
  </si>
  <si>
    <t>2465,9
1,8% от 136994430</t>
  </si>
  <si>
    <t>177,35
1,8% от 9852530</t>
  </si>
  <si>
    <t>34</t>
  </si>
  <si>
    <t>35</t>
  </si>
  <si>
    <t>36</t>
  </si>
  <si>
    <t>37</t>
  </si>
  <si>
    <t>38</t>
  </si>
  <si>
    <t>39</t>
  </si>
  <si>
    <t>41</t>
  </si>
  <si>
    <t>42</t>
  </si>
  <si>
    <t xml:space="preserve">Приказ Минстроя России от 4.08.2020 № 421/пр, п.179 </t>
  </si>
  <si>
    <t>1394,6
1,0% от 139460330</t>
  </si>
  <si>
    <t>100,3
1,0% от 10029880</t>
  </si>
  <si>
    <t>567,54
1,0% от 56753790</t>
  </si>
  <si>
    <t>13,18
1,0% от (1317500)</t>
  </si>
  <si>
    <t>2075,62</t>
  </si>
  <si>
    <t>43</t>
  </si>
  <si>
    <t>№ 303-ФЗ от 03.08.2018</t>
  </si>
  <si>
    <t>28170,99
20% от 140854930</t>
  </si>
  <si>
    <t>2026,04
20% от 10130180</t>
  </si>
  <si>
    <t>11464,27
20% от 57321330</t>
  </si>
  <si>
    <t>266,14
20% от 1330680</t>
  </si>
  <si>
    <t>Начальник</t>
  </si>
  <si>
    <t>(наименование)</t>
  </si>
  <si>
    <t>Составлен(а) в базисном (текущем) уровне цен 2 кв 2023</t>
  </si>
  <si>
    <t>Сводный сметный расчет сметной стоимостью   251 564,56 тыс. руб.</t>
  </si>
  <si>
    <t>Болт анкерный с гайкой, размер: 12,0х130 мм</t>
  </si>
  <si>
    <t>комплекс</t>
  </si>
  <si>
    <t>/В.Н. Дамаронок/</t>
  </si>
  <si>
    <t>Номер поз. по ЛСР</t>
  </si>
  <si>
    <t>1.12</t>
  </si>
  <si>
    <t>1.13</t>
  </si>
  <si>
    <t>1.14</t>
  </si>
  <si>
    <t>1.15</t>
  </si>
  <si>
    <t>Утвержденный сводный сметный расчет стоимости строительства в сумме 383 303,67 тыс. руб. в ценах на 2 квартал 2023</t>
  </si>
  <si>
    <t>Стоимость работ в ценах
на дату утверждения сметной документации на
00.00.0000г.</t>
  </si>
  <si>
    <t>Стоимость работ в
ценах на дату формирования начальной (максимальной) цены контракта
II квартал 2025г.</t>
  </si>
  <si>
    <t>Июнь 2025</t>
  </si>
  <si>
    <t>Апрель 2026</t>
  </si>
  <si>
    <t>8 месяцев</t>
  </si>
  <si>
    <t>Апрель 2025 / Март 2025</t>
  </si>
  <si>
    <t>Май 2025 / Апрель 2025</t>
  </si>
  <si>
    <t>Июнь 2025 2025 / Май 2025</t>
  </si>
  <si>
    <t>Доля сметной стоимости, подлежащая выполнению в 2025 г. (4 месяца/8 месяцев)</t>
  </si>
  <si>
    <t>Доля сметной стоимости, подлежащая выполнению в 2026 г. (4 месяца/8 месяцев)</t>
  </si>
  <si>
    <t>107,8%</t>
  </si>
  <si>
    <t>на 2026 год</t>
  </si>
  <si>
    <t>105,3%</t>
  </si>
  <si>
    <t>(1,0063⁶ - 1)/2 + 1</t>
  </si>
  <si>
    <t>К на 2026 год</t>
  </si>
  <si>
    <t>1,0063⁶ * (1,0043 + 1,0043⁴)/2</t>
  </si>
  <si>
    <t>0,5 * 1,0192 + 0,5 * 1,0496</t>
  </si>
  <si>
    <t>на заключительную часть строительно-монтажных работ на объекте: "Строительство</t>
  </si>
  <si>
    <t>на заключительную часть строительно-монтажных работ на объекте:</t>
  </si>
  <si>
    <t>1,0551*1,0045*1,0032*1,0049*1,0064* 1,0062*1,0048*1,0035*0,9939*0,9969*1,0001* 1,0001*1,0001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</si>
</sst>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\ _₽_-;\-* #,##0.00\ _₽_-;_-* &quot;-&quot;??\ _₽_-;_-@_-"/>
    <numFmt numFmtId="164" formatCode="0.000"/>
    <numFmt numFmtId="165" formatCode="0.0000"/>
    <numFmt numFmtId="166" formatCode="#,##0.00000"/>
    <numFmt numFmtId="167" formatCode="0.00000"/>
    <numFmt numFmtId="168" formatCode="_-* #,##0.00_р_._-;\-* #,##0.00_р_._-;_-* &quot;-&quot;??_р_._-;_-@_-"/>
    <numFmt numFmtId="169" formatCode="#,##0.0000"/>
    <numFmt numFmtId="170" formatCode="_-* #,##0.0000\ _₽_-;\-* #,##0.0000\ _₽_-;_-* &quot;-&quot;????\ _₽_-;_-@_-"/>
    <numFmt numFmtId="171" formatCode="0.0"/>
    <numFmt numFmtId="172" formatCode="#,##0.00_ ;[Red]\-#,##0.00\ "/>
    <numFmt numFmtId="173" formatCode="0.000000"/>
    <numFmt numFmtId="174" formatCode="_-* #,##0.00\ _₽_-;\-* #,##0.00\ _₽_-;_-* &quot;-&quot;????\ _₽_-;_-@_-"/>
    <numFmt numFmtId="175" formatCode="_-* #,##0.00000\ _₽_-;\-* #,##0.00000\ _₽_-;_-* &quot;-&quot;??\ _₽_-;_-@_-"/>
  </numFmts>
  <fonts count="52" x14ac:knownFonts="1">
    <font>
      <sz val="11"/>
      <color rgb="FF000000"/>
      <name val="Calibri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i/>
      <u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sz val="9"/>
      <color rgb="FF2F5597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i/>
      <sz val="8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sz val="10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i/>
      <sz val="8"/>
      <color rgb="FF000000"/>
      <name val="Calibri"/>
      <family val="2"/>
      <charset val="204"/>
    </font>
    <font>
      <i/>
      <sz val="8"/>
      <color rgb="FF000000"/>
      <name val="Calibri"/>
      <family val="2"/>
      <charset val="204"/>
    </font>
    <font>
      <i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8"/>
      <color rgb="FF0070C0"/>
      <name val="Arial"/>
      <family val="2"/>
      <charset val="204"/>
    </font>
    <font>
      <i/>
      <sz val="8"/>
      <color rgb="FF0070C0"/>
      <name val="Arial"/>
      <family val="2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sz val="11"/>
      <color rgb="FF000000"/>
      <name val="Calibri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0" fontId="2" fillId="0" borderId="0"/>
    <xf numFmtId="0" fontId="6" fillId="0" borderId="0"/>
    <xf numFmtId="0" fontId="10" fillId="0" borderId="0">
      <alignment vertical="top"/>
    </xf>
    <xf numFmtId="0" fontId="6" fillId="0" borderId="0"/>
    <xf numFmtId="0" fontId="10" fillId="0" borderId="0"/>
    <xf numFmtId="0" fontId="6" fillId="0" borderId="0"/>
    <xf numFmtId="0" fontId="14" fillId="0" borderId="0"/>
    <xf numFmtId="0" fontId="10" fillId="0" borderId="0"/>
    <xf numFmtId="0" fontId="15" fillId="0" borderId="0"/>
    <xf numFmtId="168" fontId="10" fillId="0" borderId="0" applyFont="0" applyFill="0" applyBorder="0" applyAlignment="0" applyProtection="0"/>
    <xf numFmtId="0" fontId="2" fillId="0" borderId="0"/>
    <xf numFmtId="0" fontId="5" fillId="0" borderId="0">
      <alignment horizontal="center"/>
    </xf>
    <xf numFmtId="0" fontId="10" fillId="0" borderId="0"/>
    <xf numFmtId="0" fontId="10" fillId="0" borderId="0"/>
    <xf numFmtId="0" fontId="5" fillId="0" borderId="0">
      <alignment horizontal="left" vertical="top"/>
    </xf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9" fontId="51" fillId="0" borderId="0" applyFont="0" applyFill="0" applyBorder="0" applyAlignment="0" applyProtection="0"/>
  </cellStyleXfs>
  <cellXfs count="454">
    <xf numFmtId="0" fontId="0" fillId="0" borderId="0" xfId="0"/>
    <xf numFmtId="0" fontId="6" fillId="0" borderId="0" xfId="2"/>
    <xf numFmtId="0" fontId="3" fillId="0" borderId="0" xfId="2" applyFont="1"/>
    <xf numFmtId="0" fontId="7" fillId="0" borderId="0" xfId="2" applyFont="1"/>
    <xf numFmtId="0" fontId="7" fillId="0" borderId="0" xfId="2" applyFont="1" applyAlignment="1">
      <alignment vertical="top" wrapText="1"/>
    </xf>
    <xf numFmtId="0" fontId="7" fillId="0" borderId="0" xfId="2" applyFont="1" applyAlignment="1">
      <alignment vertical="top"/>
    </xf>
    <xf numFmtId="0" fontId="9" fillId="0" borderId="0" xfId="2" applyFont="1"/>
    <xf numFmtId="0" fontId="3" fillId="0" borderId="0" xfId="2" applyFont="1" applyAlignment="1">
      <alignment vertical="top" wrapText="1"/>
    </xf>
    <xf numFmtId="0" fontId="6" fillId="0" borderId="0" xfId="2" applyFont="1" applyAlignment="1">
      <alignment wrapText="1"/>
    </xf>
    <xf numFmtId="0" fontId="3" fillId="0" borderId="8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left"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5" fillId="0" borderId="0" xfId="2" applyFont="1"/>
    <xf numFmtId="0" fontId="3" fillId="0" borderId="0" xfId="2" applyFont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49" fontId="11" fillId="0" borderId="0" xfId="2" applyNumberFormat="1" applyFont="1" applyAlignment="1">
      <alignment horizontal="left" vertical="center" wrapText="1"/>
    </xf>
    <xf numFmtId="0" fontId="3" fillId="0" borderId="0" xfId="2" applyFont="1" applyAlignment="1">
      <alignment horizontal="right" vertical="top"/>
    </xf>
    <xf numFmtId="0" fontId="3" fillId="0" borderId="0" xfId="2" applyFont="1" applyAlignment="1">
      <alignment horizontal="right"/>
    </xf>
    <xf numFmtId="0" fontId="3" fillId="0" borderId="0" xfId="2" applyFont="1" applyFill="1" applyAlignment="1">
      <alignment horizontal="left" vertical="center" wrapText="1"/>
    </xf>
    <xf numFmtId="4" fontId="13" fillId="0" borderId="0" xfId="2" applyNumberFormat="1" applyFont="1"/>
    <xf numFmtId="4" fontId="3" fillId="0" borderId="8" xfId="2" applyNumberFormat="1" applyFont="1" applyBorder="1" applyAlignment="1">
      <alignment horizontal="center" vertical="center" wrapText="1"/>
    </xf>
    <xf numFmtId="4" fontId="3" fillId="0" borderId="14" xfId="2" applyNumberFormat="1" applyFont="1" applyFill="1" applyBorder="1" applyAlignment="1">
      <alignment vertical="center" wrapText="1"/>
    </xf>
    <xf numFmtId="169" fontId="3" fillId="0" borderId="8" xfId="2" applyNumberFormat="1" applyFont="1" applyBorder="1" applyAlignment="1">
      <alignment horizontal="center" vertical="center" wrapText="1"/>
    </xf>
    <xf numFmtId="0" fontId="3" fillId="0" borderId="0" xfId="2" applyFont="1" applyFill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8" xfId="3" applyFont="1" applyBorder="1" applyAlignment="1">
      <alignment horizontal="center" vertical="center"/>
    </xf>
    <xf numFmtId="166" fontId="3" fillId="0" borderId="8" xfId="2" applyNumberFormat="1" applyFont="1" applyBorder="1" applyAlignment="1">
      <alignment horizontal="center" vertical="center" wrapText="1"/>
    </xf>
    <xf numFmtId="2" fontId="3" fillId="0" borderId="8" xfId="2" applyNumberFormat="1" applyFont="1" applyBorder="1" applyAlignment="1">
      <alignment horizontal="center" vertical="center" wrapText="1"/>
    </xf>
    <xf numFmtId="165" fontId="3" fillId="0" borderId="8" xfId="2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6" fillId="0" borderId="0" xfId="2" applyFont="1"/>
    <xf numFmtId="0" fontId="3" fillId="0" borderId="0" xfId="2" applyFont="1" applyAlignment="1">
      <alignment horizontal="right" vertical="center" wrapText="1"/>
    </xf>
    <xf numFmtId="167" fontId="3" fillId="0" borderId="0" xfId="2" applyNumberFormat="1" applyFont="1"/>
    <xf numFmtId="43" fontId="3" fillId="0" borderId="8" xfId="17" applyFont="1" applyBorder="1" applyAlignment="1">
      <alignment horizontal="center" vertical="center" wrapText="1"/>
    </xf>
    <xf numFmtId="43" fontId="5" fillId="0" borderId="0" xfId="17" applyFont="1"/>
    <xf numFmtId="43" fontId="3" fillId="0" borderId="0" xfId="17" applyFont="1" applyAlignment="1">
      <alignment horizontal="left" vertical="center" wrapText="1"/>
    </xf>
    <xf numFmtId="43" fontId="1" fillId="0" borderId="0" xfId="17" applyFont="1" applyAlignment="1">
      <alignment horizontal="center" vertical="center"/>
    </xf>
    <xf numFmtId="43" fontId="3" fillId="0" borderId="0" xfId="17" applyFont="1" applyAlignment="1">
      <alignment horizontal="center" vertical="center"/>
    </xf>
    <xf numFmtId="43" fontId="7" fillId="0" borderId="0" xfId="17" applyFont="1" applyAlignment="1">
      <alignment horizontal="center" vertical="center"/>
    </xf>
    <xf numFmtId="43" fontId="7" fillId="0" borderId="0" xfId="17" applyFont="1" applyAlignment="1">
      <alignment horizontal="center" vertical="center" wrapText="1"/>
    </xf>
    <xf numFmtId="43" fontId="11" fillId="0" borderId="0" xfId="17" applyFont="1" applyAlignment="1">
      <alignment horizontal="center" vertical="center"/>
    </xf>
    <xf numFmtId="43" fontId="3" fillId="0" borderId="0" xfId="17" applyFont="1" applyAlignment="1">
      <alignment horizontal="center" vertical="center" wrapText="1"/>
    </xf>
    <xf numFmtId="43" fontId="11" fillId="0" borderId="0" xfId="17" applyFont="1" applyAlignment="1">
      <alignment horizontal="center" vertical="center" wrapText="1"/>
    </xf>
    <xf numFmtId="43" fontId="5" fillId="0" borderId="0" xfId="17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vertical="center"/>
    </xf>
    <xf numFmtId="4" fontId="4" fillId="0" borderId="0" xfId="2" applyNumberFormat="1" applyFont="1" applyAlignment="1">
      <alignment vertical="center"/>
    </xf>
    <xf numFmtId="43" fontId="6" fillId="0" borderId="0" xfId="2" applyNumberFormat="1"/>
    <xf numFmtId="170" fontId="6" fillId="0" borderId="0" xfId="2" applyNumberFormat="1"/>
    <xf numFmtId="4" fontId="3" fillId="2" borderId="8" xfId="2" applyNumberFormat="1" applyFont="1" applyFill="1" applyBorder="1" applyAlignment="1">
      <alignment horizontal="center" vertical="center" wrapText="1"/>
    </xf>
    <xf numFmtId="43" fontId="11" fillId="0" borderId="0" xfId="2" applyNumberFormat="1" applyFont="1" applyAlignment="1">
      <alignment horizontal="left" vertical="center" wrapText="1"/>
    </xf>
    <xf numFmtId="4" fontId="11" fillId="0" borderId="0" xfId="2" applyNumberFormat="1" applyFont="1" applyAlignment="1">
      <alignment horizontal="left" vertical="center" wrapText="1"/>
    </xf>
    <xf numFmtId="4" fontId="3" fillId="0" borderId="0" xfId="2" applyNumberFormat="1" applyFont="1" applyBorder="1" applyAlignment="1">
      <alignment horizontal="center" vertical="center" wrapText="1"/>
    </xf>
    <xf numFmtId="43" fontId="11" fillId="0" borderId="0" xfId="17" applyFont="1" applyBorder="1" applyAlignment="1">
      <alignment horizontal="center" vertical="center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 wrapText="1"/>
    </xf>
    <xf numFmtId="0" fontId="17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7" fillId="0" borderId="8" xfId="0" applyNumberFormat="1" applyFont="1" applyFill="1" applyBorder="1" applyAlignment="1" applyProtection="1">
      <alignment horizontal="center" vertical="center"/>
    </xf>
    <xf numFmtId="0" fontId="20" fillId="0" borderId="11" xfId="0" applyNumberFormat="1" applyFont="1" applyFill="1" applyBorder="1" applyAlignment="1" applyProtection="1">
      <alignment horizontal="center" vertical="center"/>
    </xf>
    <xf numFmtId="0" fontId="17" fillId="0" borderId="2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Alignment="1">
      <alignment vertical="center"/>
    </xf>
    <xf numFmtId="0" fontId="25" fillId="0" borderId="0" xfId="0" applyNumberFormat="1" applyFont="1" applyFill="1" applyBorder="1" applyAlignment="1" applyProtection="1">
      <alignment vertical="center" wrapText="1"/>
    </xf>
    <xf numFmtId="0" fontId="27" fillId="0" borderId="8" xfId="0" applyNumberFormat="1" applyFont="1" applyFill="1" applyBorder="1" applyAlignment="1" applyProtection="1">
      <alignment horizontal="center" vertical="center" wrapText="1"/>
    </xf>
    <xf numFmtId="0" fontId="27" fillId="0" borderId="8" xfId="0" applyNumberFormat="1" applyFont="1" applyFill="1" applyBorder="1" applyAlignment="1" applyProtection="1">
      <alignment horizontal="center" vertical="center"/>
    </xf>
    <xf numFmtId="1" fontId="20" fillId="0" borderId="8" xfId="0" applyNumberFormat="1" applyFont="1" applyFill="1" applyBorder="1" applyAlignment="1" applyProtection="1">
      <alignment horizontal="center" vertical="center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4" fontId="20" fillId="0" borderId="8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vertical="center" wrapText="1"/>
    </xf>
    <xf numFmtId="171" fontId="23" fillId="0" borderId="8" xfId="0" applyNumberFormat="1" applyFont="1" applyFill="1" applyBorder="1" applyAlignment="1" applyProtection="1">
      <alignment horizontal="center" vertical="center"/>
    </xf>
    <xf numFmtId="0" fontId="23" fillId="0" borderId="8" xfId="0" applyNumberFormat="1" applyFont="1" applyFill="1" applyBorder="1" applyAlignment="1" applyProtection="1">
      <alignment horizontal="center" vertical="center"/>
    </xf>
    <xf numFmtId="1" fontId="23" fillId="0" borderId="8" xfId="0" applyNumberFormat="1" applyFont="1" applyFill="1" applyBorder="1" applyAlignment="1" applyProtection="1">
      <alignment horizontal="center" vertical="center"/>
    </xf>
    <xf numFmtId="0" fontId="23" fillId="0" borderId="8" xfId="0" applyNumberFormat="1" applyFont="1" applyFill="1" applyBorder="1" applyAlignment="1" applyProtection="1">
      <alignment horizontal="left" vertical="center" wrapText="1"/>
    </xf>
    <xf numFmtId="164" fontId="23" fillId="0" borderId="8" xfId="0" applyNumberFormat="1" applyFont="1" applyFill="1" applyBorder="1" applyAlignment="1" applyProtection="1">
      <alignment horizontal="center" vertical="center"/>
    </xf>
    <xf numFmtId="172" fontId="23" fillId="0" borderId="8" xfId="0" applyNumberFormat="1" applyFont="1" applyFill="1" applyBorder="1" applyAlignment="1" applyProtection="1">
      <alignment horizontal="right" vertical="center"/>
    </xf>
    <xf numFmtId="4" fontId="23" fillId="0" borderId="8" xfId="0" applyNumberFormat="1" applyFont="1" applyFill="1" applyBorder="1" applyAlignment="1" applyProtection="1">
      <alignment horizontal="center" vertical="center"/>
    </xf>
    <xf numFmtId="2" fontId="23" fillId="0" borderId="8" xfId="0" applyNumberFormat="1" applyFont="1" applyFill="1" applyBorder="1" applyAlignment="1" applyProtection="1">
      <alignment horizontal="center" vertical="center"/>
    </xf>
    <xf numFmtId="165" fontId="23" fillId="0" borderId="8" xfId="0" applyNumberFormat="1" applyFont="1" applyFill="1" applyBorder="1" applyAlignment="1" applyProtection="1">
      <alignment horizontal="center" vertical="center"/>
    </xf>
    <xf numFmtId="167" fontId="23" fillId="0" borderId="8" xfId="0" applyNumberFormat="1" applyFont="1" applyFill="1" applyBorder="1" applyAlignment="1" applyProtection="1">
      <alignment horizontal="center" vertical="center"/>
    </xf>
    <xf numFmtId="173" fontId="23" fillId="0" borderId="8" xfId="0" applyNumberFormat="1" applyFont="1" applyFill="1" applyBorder="1" applyAlignment="1" applyProtection="1">
      <alignment horizontal="center" vertical="center"/>
    </xf>
    <xf numFmtId="1" fontId="29" fillId="3" borderId="8" xfId="0" applyNumberFormat="1" applyFont="1" applyFill="1" applyBorder="1" applyAlignment="1" applyProtection="1">
      <alignment horizontal="center" vertical="center"/>
    </xf>
    <xf numFmtId="0" fontId="29" fillId="3" borderId="8" xfId="0" applyNumberFormat="1" applyFont="1" applyFill="1" applyBorder="1" applyAlignment="1" applyProtection="1">
      <alignment horizontal="left" vertical="center"/>
    </xf>
    <xf numFmtId="0" fontId="29" fillId="3" borderId="8" xfId="0" applyNumberFormat="1" applyFont="1" applyFill="1" applyBorder="1" applyAlignment="1" applyProtection="1">
      <alignment vertical="center" wrapText="1"/>
    </xf>
    <xf numFmtId="0" fontId="29" fillId="3" borderId="8" xfId="0" applyNumberFormat="1" applyFont="1" applyFill="1" applyBorder="1" applyAlignment="1" applyProtection="1">
      <alignment horizontal="center" vertical="center" wrapText="1"/>
    </xf>
    <xf numFmtId="4" fontId="29" fillId="3" borderId="8" xfId="0" applyNumberFormat="1" applyFont="1" applyFill="1" applyBorder="1" applyAlignment="1" applyProtection="1">
      <alignment horizontal="right" vertical="center"/>
    </xf>
    <xf numFmtId="4" fontId="29" fillId="3" borderId="8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NumberFormat="1" applyFont="1" applyFill="1" applyBorder="1" applyAlignment="1" applyProtection="1">
      <alignment vertical="center" wrapText="1"/>
    </xf>
    <xf numFmtId="0" fontId="26" fillId="0" borderId="0" xfId="0" applyNumberFormat="1" applyFont="1" applyFill="1" applyBorder="1" applyAlignment="1" applyProtection="1">
      <alignment vertical="center" wrapText="1"/>
    </xf>
    <xf numFmtId="0" fontId="32" fillId="0" borderId="0" xfId="0" applyFont="1" applyAlignment="1">
      <alignment vertical="center"/>
    </xf>
    <xf numFmtId="2" fontId="26" fillId="3" borderId="8" xfId="0" applyNumberFormat="1" applyFont="1" applyFill="1" applyBorder="1" applyAlignment="1" applyProtection="1">
      <alignment horizontal="center" vertical="center"/>
    </xf>
    <xf numFmtId="0" fontId="26" fillId="3" borderId="8" xfId="0" applyNumberFormat="1" applyFont="1" applyFill="1" applyBorder="1" applyAlignment="1" applyProtection="1">
      <alignment horizontal="center" vertical="center"/>
    </xf>
    <xf numFmtId="171" fontId="26" fillId="3" borderId="8" xfId="0" applyNumberFormat="1" applyFont="1" applyFill="1" applyBorder="1" applyAlignment="1" applyProtection="1">
      <alignment horizontal="center" vertical="center"/>
    </xf>
    <xf numFmtId="0" fontId="26" fillId="3" borderId="8" xfId="0" applyNumberFormat="1" applyFont="1" applyFill="1" applyBorder="1" applyAlignment="1" applyProtection="1">
      <alignment horizontal="left" vertical="center" wrapText="1"/>
    </xf>
    <xf numFmtId="1" fontId="26" fillId="3" borderId="8" xfId="0" applyNumberFormat="1" applyFont="1" applyFill="1" applyBorder="1" applyAlignment="1" applyProtection="1">
      <alignment horizontal="center" vertical="center"/>
    </xf>
    <xf numFmtId="172" fontId="26" fillId="3" borderId="8" xfId="0" applyNumberFormat="1" applyFont="1" applyFill="1" applyBorder="1" applyAlignment="1" applyProtection="1">
      <alignment horizontal="right" vertical="center"/>
    </xf>
    <xf numFmtId="4" fontId="26" fillId="3" borderId="8" xfId="0" applyNumberFormat="1" applyFont="1" applyFill="1" applyBorder="1" applyAlignment="1" applyProtection="1">
      <alignment horizontal="center" vertical="center"/>
    </xf>
    <xf numFmtId="164" fontId="26" fillId="3" borderId="8" xfId="0" applyNumberFormat="1" applyFont="1" applyFill="1" applyBorder="1" applyAlignment="1" applyProtection="1">
      <alignment horizontal="center" vertical="center"/>
    </xf>
    <xf numFmtId="4" fontId="24" fillId="0" borderId="0" xfId="0" applyNumberFormat="1" applyFont="1" applyAlignment="1">
      <alignment vertical="center"/>
    </xf>
    <xf numFmtId="0" fontId="24" fillId="3" borderId="0" xfId="0" applyFont="1" applyFill="1" applyAlignment="1">
      <alignment vertical="center"/>
    </xf>
    <xf numFmtId="164" fontId="23" fillId="2" borderId="8" xfId="0" applyNumberFormat="1" applyFont="1" applyFill="1" applyBorder="1" applyAlignment="1" applyProtection="1">
      <alignment horizontal="center" vertical="center"/>
    </xf>
    <xf numFmtId="0" fontId="23" fillId="2" borderId="8" xfId="0" applyNumberFormat="1" applyFont="1" applyFill="1" applyBorder="1" applyAlignment="1" applyProtection="1">
      <alignment horizontal="center" vertical="center"/>
    </xf>
    <xf numFmtId="171" fontId="23" fillId="2" borderId="8" xfId="0" applyNumberFormat="1" applyFont="1" applyFill="1" applyBorder="1" applyAlignment="1" applyProtection="1">
      <alignment horizontal="center" vertical="center"/>
    </xf>
    <xf numFmtId="0" fontId="23" fillId="2" borderId="8" xfId="0" applyNumberFormat="1" applyFont="1" applyFill="1" applyBorder="1" applyAlignment="1" applyProtection="1">
      <alignment horizontal="left" vertical="center" wrapText="1"/>
    </xf>
    <xf numFmtId="1" fontId="23" fillId="2" borderId="8" xfId="0" applyNumberFormat="1" applyFont="1" applyFill="1" applyBorder="1" applyAlignment="1" applyProtection="1">
      <alignment horizontal="center" vertical="center"/>
    </xf>
    <xf numFmtId="172" fontId="23" fillId="2" borderId="8" xfId="0" applyNumberFormat="1" applyFont="1" applyFill="1" applyBorder="1" applyAlignment="1" applyProtection="1">
      <alignment horizontal="right" vertical="center"/>
    </xf>
    <xf numFmtId="4" fontId="23" fillId="2" borderId="8" xfId="0" applyNumberFormat="1" applyFont="1" applyFill="1" applyBorder="1" applyAlignment="1" applyProtection="1">
      <alignment horizontal="center" vertical="center"/>
    </xf>
    <xf numFmtId="2" fontId="23" fillId="3" borderId="8" xfId="0" applyNumberFormat="1" applyFont="1" applyFill="1" applyBorder="1" applyAlignment="1" applyProtection="1">
      <alignment horizontal="center" vertical="center"/>
    </xf>
    <xf numFmtId="0" fontId="23" fillId="3" borderId="8" xfId="0" applyNumberFormat="1" applyFont="1" applyFill="1" applyBorder="1" applyAlignment="1" applyProtection="1">
      <alignment horizontal="center" vertical="center"/>
    </xf>
    <xf numFmtId="1" fontId="23" fillId="3" borderId="8" xfId="0" applyNumberFormat="1" applyFont="1" applyFill="1" applyBorder="1" applyAlignment="1" applyProtection="1">
      <alignment horizontal="center" vertical="center"/>
    </xf>
    <xf numFmtId="0" fontId="23" fillId="3" borderId="8" xfId="0" applyNumberFormat="1" applyFont="1" applyFill="1" applyBorder="1" applyAlignment="1" applyProtection="1">
      <alignment horizontal="left" vertical="center" wrapText="1"/>
    </xf>
    <xf numFmtId="172" fontId="23" fillId="3" borderId="8" xfId="0" applyNumberFormat="1" applyFont="1" applyFill="1" applyBorder="1" applyAlignment="1" applyProtection="1">
      <alignment horizontal="right" vertical="center"/>
    </xf>
    <xf numFmtId="4" fontId="23" fillId="3" borderId="8" xfId="0" applyNumberFormat="1" applyFont="1" applyFill="1" applyBorder="1" applyAlignment="1" applyProtection="1">
      <alignment horizontal="center" vertical="center"/>
    </xf>
    <xf numFmtId="2" fontId="23" fillId="2" borderId="8" xfId="0" applyNumberFormat="1" applyFont="1" applyFill="1" applyBorder="1" applyAlignment="1" applyProtection="1">
      <alignment horizontal="center" vertical="center"/>
    </xf>
    <xf numFmtId="0" fontId="20" fillId="0" borderId="8" xfId="0" applyNumberFormat="1" applyFont="1" applyFill="1" applyBorder="1" applyAlignment="1" applyProtection="1">
      <alignment horizontal="center" vertical="center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172" fontId="20" fillId="0" borderId="8" xfId="0" applyNumberFormat="1" applyFont="1" applyFill="1" applyBorder="1" applyAlignment="1" applyProtection="1">
      <alignment horizontal="right" vertical="center"/>
    </xf>
    <xf numFmtId="0" fontId="3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3" fillId="0" borderId="8" xfId="0" applyNumberFormat="1" applyFont="1" applyFill="1" applyBorder="1" applyAlignment="1" applyProtection="1">
      <alignment vertical="center" wrapText="1"/>
    </xf>
    <xf numFmtId="0" fontId="23" fillId="0" borderId="8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7" fillId="0" borderId="21" xfId="0" applyNumberFormat="1" applyFont="1" applyFill="1" applyBorder="1" applyAlignment="1" applyProtection="1">
      <alignment horizontal="center" vertical="center"/>
    </xf>
    <xf numFmtId="0" fontId="17" fillId="0" borderId="14" xfId="0" applyNumberFormat="1" applyFont="1" applyFill="1" applyBorder="1" applyAlignment="1" applyProtection="1">
      <alignment vertical="center"/>
    </xf>
    <xf numFmtId="0" fontId="20" fillId="0" borderId="14" xfId="0" applyNumberFormat="1" applyFont="1" applyFill="1" applyBorder="1" applyAlignment="1" applyProtection="1">
      <alignment vertical="center"/>
    </xf>
    <xf numFmtId="0" fontId="21" fillId="0" borderId="0" xfId="0" applyFont="1" applyAlignment="1">
      <alignment vertical="center"/>
    </xf>
    <xf numFmtId="0" fontId="17" fillId="0" borderId="0" xfId="0" applyNumberFormat="1" applyFont="1" applyFill="1" applyBorder="1" applyAlignment="1" applyProtection="1">
      <alignment vertical="center" wrapText="1"/>
    </xf>
    <xf numFmtId="0" fontId="17" fillId="0" borderId="0" xfId="0" applyFont="1" applyAlignment="1">
      <alignment vertical="center"/>
    </xf>
    <xf numFmtId="43" fontId="17" fillId="0" borderId="0" xfId="19" applyFont="1" applyBorder="1" applyAlignment="1">
      <alignment vertical="center"/>
    </xf>
    <xf numFmtId="0" fontId="31" fillId="0" borderId="21" xfId="0" applyNumberFormat="1" applyFont="1" applyFill="1" applyBorder="1" applyAlignment="1" applyProtection="1">
      <alignment horizontal="center" vertical="center"/>
    </xf>
    <xf numFmtId="0" fontId="31" fillId="0" borderId="14" xfId="0" applyNumberFormat="1" applyFont="1" applyFill="1" applyBorder="1" applyAlignment="1" applyProtection="1">
      <alignment vertical="center"/>
    </xf>
    <xf numFmtId="0" fontId="31" fillId="0" borderId="14" xfId="0" applyNumberFormat="1" applyFont="1" applyFill="1" applyBorder="1" applyAlignment="1" applyProtection="1">
      <alignment horizontal="left" vertical="center"/>
    </xf>
    <xf numFmtId="0" fontId="3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3" fontId="31" fillId="0" borderId="0" xfId="19" applyFont="1" applyBorder="1" applyAlignment="1">
      <alignment vertical="center"/>
    </xf>
    <xf numFmtId="0" fontId="26" fillId="0" borderId="21" xfId="0" applyNumberFormat="1" applyFont="1" applyFill="1" applyBorder="1" applyAlignment="1" applyProtection="1">
      <alignment horizontal="center" vertical="center"/>
    </xf>
    <xf numFmtId="0" fontId="26" fillId="0" borderId="14" xfId="0" applyNumberFormat="1" applyFont="1" applyFill="1" applyBorder="1" applyAlignment="1" applyProtection="1">
      <alignment vertical="center"/>
    </xf>
    <xf numFmtId="0" fontId="26" fillId="0" borderId="14" xfId="0" applyNumberFormat="1" applyFont="1" applyFill="1" applyBorder="1" applyAlignment="1" applyProtection="1">
      <alignment horizontal="left" vertical="center"/>
    </xf>
    <xf numFmtId="0" fontId="3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3" fontId="26" fillId="0" borderId="0" xfId="19" applyFont="1" applyFill="1" applyBorder="1" applyAlignment="1" applyProtection="1">
      <alignment horizontal="center" vertical="center"/>
    </xf>
    <xf numFmtId="43" fontId="26" fillId="0" borderId="0" xfId="19" applyFont="1" applyBorder="1" applyAlignment="1">
      <alignment vertical="center"/>
    </xf>
    <xf numFmtId="0" fontId="26" fillId="0" borderId="16" xfId="0" applyNumberFormat="1" applyFont="1" applyFill="1" applyBorder="1" applyAlignment="1" applyProtection="1">
      <alignment horizontal="center" vertical="center"/>
    </xf>
    <xf numFmtId="0" fontId="26" fillId="0" borderId="17" xfId="0" applyNumberFormat="1" applyFont="1" applyFill="1" applyBorder="1" applyAlignment="1" applyProtection="1">
      <alignment vertical="center"/>
    </xf>
    <xf numFmtId="0" fontId="17" fillId="0" borderId="16" xfId="0" applyNumberFormat="1" applyFont="1" applyFill="1" applyBorder="1" applyAlignment="1" applyProtection="1">
      <alignment horizontal="center" vertical="center"/>
    </xf>
    <xf numFmtId="0" fontId="17" fillId="0" borderId="17" xfId="0" applyNumberFormat="1" applyFont="1" applyFill="1" applyBorder="1" applyAlignment="1" applyProtection="1">
      <alignment vertical="center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17" xfId="0" applyNumberFormat="1" applyFont="1" applyFill="1" applyBorder="1" applyAlignment="1" applyProtection="1">
      <alignment vertical="center"/>
    </xf>
    <xf numFmtId="43" fontId="20" fillId="0" borderId="0" xfId="19" applyFont="1" applyBorder="1" applyAlignment="1">
      <alignment vertical="center"/>
    </xf>
    <xf numFmtId="0" fontId="24" fillId="0" borderId="0" xfId="0" applyNumberFormat="1" applyFont="1" applyFill="1" applyBorder="1" applyAlignment="1" applyProtection="1">
      <alignment vertical="center" wrapText="1"/>
    </xf>
    <xf numFmtId="0" fontId="24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14" fillId="0" borderId="0" xfId="20" applyFont="1"/>
    <xf numFmtId="0" fontId="24" fillId="0" borderId="0" xfId="0" applyNumberFormat="1" applyFont="1" applyFill="1" applyBorder="1" applyAlignment="1" applyProtection="1">
      <alignment horizontal="center" vertical="center"/>
    </xf>
    <xf numFmtId="0" fontId="29" fillId="3" borderId="8" xfId="0" applyNumberFormat="1" applyFont="1" applyFill="1" applyBorder="1" applyAlignment="1" applyProtection="1">
      <alignment horizontal="left" vertical="center" wrapText="1"/>
    </xf>
    <xf numFmtId="0" fontId="26" fillId="3" borderId="8" xfId="0" applyNumberFormat="1" applyFont="1" applyFill="1" applyBorder="1" applyAlignment="1" applyProtection="1">
      <alignment horizontal="center" vertical="center" wrapText="1"/>
    </xf>
    <xf numFmtId="0" fontId="23" fillId="2" borderId="8" xfId="0" applyNumberFormat="1" applyFont="1" applyFill="1" applyBorder="1" applyAlignment="1" applyProtection="1">
      <alignment horizontal="center" vertical="center" wrapText="1"/>
    </xf>
    <xf numFmtId="0" fontId="23" fillId="3" borderId="8" xfId="0" applyNumberFormat="1" applyFont="1" applyFill="1" applyBorder="1" applyAlignment="1" applyProtection="1">
      <alignment horizontal="center" vertical="center" wrapText="1"/>
    </xf>
    <xf numFmtId="0" fontId="17" fillId="0" borderId="14" xfId="0" applyNumberFormat="1" applyFont="1" applyFill="1" applyBorder="1" applyAlignment="1" applyProtection="1">
      <alignment vertical="center" wrapText="1"/>
    </xf>
    <xf numFmtId="0" fontId="31" fillId="0" borderId="14" xfId="0" applyNumberFormat="1" applyFont="1" applyFill="1" applyBorder="1" applyAlignment="1" applyProtection="1">
      <alignment vertical="center" wrapText="1"/>
    </xf>
    <xf numFmtId="0" fontId="26" fillId="0" borderId="14" xfId="0" applyNumberFormat="1" applyFont="1" applyFill="1" applyBorder="1" applyAlignment="1" applyProtection="1">
      <alignment vertical="center" wrapText="1"/>
    </xf>
    <xf numFmtId="0" fontId="26" fillId="0" borderId="17" xfId="0" applyNumberFormat="1" applyFont="1" applyFill="1" applyBorder="1" applyAlignment="1" applyProtection="1">
      <alignment vertical="center" wrapText="1"/>
    </xf>
    <xf numFmtId="0" fontId="17" fillId="0" borderId="17" xfId="0" applyNumberFormat="1" applyFont="1" applyFill="1" applyBorder="1" applyAlignment="1" applyProtection="1">
      <alignment vertical="center" wrapText="1"/>
    </xf>
    <xf numFmtId="0" fontId="20" fillId="0" borderId="17" xfId="0" applyNumberFormat="1" applyFont="1" applyFill="1" applyBorder="1" applyAlignment="1" applyProtection="1">
      <alignment vertical="center" wrapText="1"/>
    </xf>
    <xf numFmtId="4" fontId="31" fillId="0" borderId="8" xfId="0" applyNumberFormat="1" applyFont="1" applyFill="1" applyBorder="1" applyAlignment="1" applyProtection="1">
      <alignment horizontal="center" vertical="center"/>
    </xf>
    <xf numFmtId="4" fontId="26" fillId="0" borderId="8" xfId="0" applyNumberFormat="1" applyFont="1" applyFill="1" applyBorder="1" applyAlignment="1" applyProtection="1">
      <alignment horizontal="center" vertical="center"/>
    </xf>
    <xf numFmtId="4" fontId="17" fillId="0" borderId="8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5" fillId="0" borderId="0" xfId="0" applyFont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vertical="center"/>
    </xf>
    <xf numFmtId="0" fontId="37" fillId="0" borderId="0" xfId="0" applyNumberFormat="1" applyFont="1" applyFill="1" applyBorder="1" applyAlignment="1" applyProtection="1">
      <alignment vertical="center" wrapText="1"/>
    </xf>
    <xf numFmtId="43" fontId="23" fillId="0" borderId="8" xfId="17" applyFont="1" applyBorder="1" applyAlignment="1">
      <alignment vertical="center"/>
    </xf>
    <xf numFmtId="43" fontId="28" fillId="0" borderId="8" xfId="17" applyFont="1" applyFill="1" applyBorder="1" applyAlignment="1" applyProtection="1">
      <alignment vertical="center" wrapText="1"/>
    </xf>
    <xf numFmtId="43" fontId="26" fillId="0" borderId="8" xfId="17" applyFont="1" applyBorder="1" applyAlignment="1">
      <alignment vertical="center"/>
    </xf>
    <xf numFmtId="43" fontId="28" fillId="0" borderId="8" xfId="17" applyFont="1" applyBorder="1" applyAlignment="1">
      <alignment vertical="center"/>
    </xf>
    <xf numFmtId="43" fontId="23" fillId="0" borderId="8" xfId="17" applyFont="1" applyFill="1" applyBorder="1" applyAlignment="1" applyProtection="1">
      <alignment vertical="center" wrapText="1"/>
    </xf>
    <xf numFmtId="43" fontId="31" fillId="0" borderId="8" xfId="17" applyFont="1" applyBorder="1" applyAlignment="1">
      <alignment vertical="center"/>
    </xf>
    <xf numFmtId="43" fontId="23" fillId="3" borderId="8" xfId="17" applyFont="1" applyFill="1" applyBorder="1" applyAlignment="1">
      <alignment vertical="center"/>
    </xf>
    <xf numFmtId="43" fontId="26" fillId="3" borderId="8" xfId="17" applyFont="1" applyFill="1" applyBorder="1" applyAlignment="1">
      <alignment vertical="center"/>
    </xf>
    <xf numFmtId="43" fontId="26" fillId="3" borderId="8" xfId="17" applyFont="1" applyFill="1" applyBorder="1" applyAlignment="1" applyProtection="1">
      <alignment vertical="center" wrapText="1"/>
    </xf>
    <xf numFmtId="1" fontId="20" fillId="4" borderId="8" xfId="0" applyNumberFormat="1" applyFont="1" applyFill="1" applyBorder="1" applyAlignment="1" applyProtection="1">
      <alignment horizontal="center" vertical="center"/>
    </xf>
    <xf numFmtId="0" fontId="20" fillId="4" borderId="8" xfId="0" applyNumberFormat="1" applyFont="1" applyFill="1" applyBorder="1" applyAlignment="1" applyProtection="1">
      <alignment vertical="center" wrapText="1"/>
    </xf>
    <xf numFmtId="0" fontId="20" fillId="4" borderId="8" xfId="0" applyNumberFormat="1" applyFont="1" applyFill="1" applyBorder="1" applyAlignment="1" applyProtection="1">
      <alignment horizontal="center" vertical="center" wrapText="1"/>
    </xf>
    <xf numFmtId="4" fontId="20" fillId="4" borderId="8" xfId="0" applyNumberFormat="1" applyFont="1" applyFill="1" applyBorder="1" applyAlignment="1" applyProtection="1">
      <alignment horizontal="right" vertical="center"/>
    </xf>
    <xf numFmtId="4" fontId="20" fillId="4" borderId="8" xfId="0" applyNumberFormat="1" applyFont="1" applyFill="1" applyBorder="1" applyAlignment="1" applyProtection="1">
      <alignment horizontal="center" vertical="center"/>
    </xf>
    <xf numFmtId="0" fontId="24" fillId="4" borderId="8" xfId="0" applyFont="1" applyFill="1" applyBorder="1" applyAlignment="1">
      <alignment vertical="center"/>
    </xf>
    <xf numFmtId="43" fontId="23" fillId="4" borderId="8" xfId="17" applyFont="1" applyFill="1" applyBorder="1" applyAlignment="1">
      <alignment vertical="center"/>
    </xf>
    <xf numFmtId="0" fontId="20" fillId="4" borderId="8" xfId="0" applyNumberFormat="1" applyFont="1" applyFill="1" applyBorder="1" applyAlignment="1" applyProtection="1">
      <alignment horizontal="center" vertical="center"/>
    </xf>
    <xf numFmtId="0" fontId="20" fillId="4" borderId="8" xfId="0" applyNumberFormat="1" applyFont="1" applyFill="1" applyBorder="1" applyAlignment="1" applyProtection="1">
      <alignment horizontal="left" vertical="center" wrapText="1"/>
    </xf>
    <xf numFmtId="172" fontId="20" fillId="4" borderId="8" xfId="0" applyNumberFormat="1" applyFont="1" applyFill="1" applyBorder="1" applyAlignment="1" applyProtection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65" fontId="17" fillId="0" borderId="0" xfId="0" applyNumberFormat="1" applyFont="1" applyFill="1" applyBorder="1" applyAlignment="1" applyProtection="1">
      <alignment horizontal="center" vertical="center" wrapText="1"/>
    </xf>
    <xf numFmtId="43" fontId="17" fillId="0" borderId="0" xfId="17" applyFont="1" applyFill="1" applyBorder="1" applyAlignment="1" applyProtection="1">
      <alignment vertical="center" wrapText="1"/>
    </xf>
    <xf numFmtId="43" fontId="17" fillId="0" borderId="0" xfId="17" applyFont="1" applyAlignment="1">
      <alignment vertical="center"/>
    </xf>
    <xf numFmtId="43" fontId="17" fillId="0" borderId="0" xfId="0" applyNumberFormat="1" applyFont="1" applyAlignment="1">
      <alignment vertical="center"/>
    </xf>
    <xf numFmtId="43" fontId="37" fillId="0" borderId="0" xfId="17" applyFont="1" applyFill="1" applyBorder="1" applyAlignment="1" applyProtection="1">
      <alignment vertical="center" wrapText="1"/>
    </xf>
    <xf numFmtId="4" fontId="20" fillId="0" borderId="0" xfId="0" applyNumberFormat="1" applyFont="1" applyFill="1" applyBorder="1" applyAlignment="1" applyProtection="1">
      <alignment horizontal="center" vertical="center"/>
    </xf>
    <xf numFmtId="43" fontId="20" fillId="0" borderId="0" xfId="0" applyNumberFormat="1" applyFont="1" applyFill="1" applyBorder="1" applyAlignment="1" applyProtection="1">
      <alignment vertical="center" wrapText="1"/>
    </xf>
    <xf numFmtId="165" fontId="17" fillId="0" borderId="0" xfId="0" applyNumberFormat="1" applyFont="1" applyAlignment="1">
      <alignment horizontal="center" vertical="center"/>
    </xf>
    <xf numFmtId="43" fontId="17" fillId="0" borderId="8" xfId="17" applyFont="1" applyBorder="1" applyAlignment="1">
      <alignment vertical="center"/>
    </xf>
    <xf numFmtId="43" fontId="37" fillId="3" borderId="8" xfId="17" applyFont="1" applyFill="1" applyBorder="1" applyAlignment="1">
      <alignment vertical="center"/>
    </xf>
    <xf numFmtId="1" fontId="20" fillId="2" borderId="8" xfId="0" applyNumberFormat="1" applyFont="1" applyFill="1" applyBorder="1" applyAlignment="1" applyProtection="1">
      <alignment horizontal="center" vertical="center"/>
    </xf>
    <xf numFmtId="0" fontId="20" fillId="2" borderId="8" xfId="0" applyNumberFormat="1" applyFont="1" applyFill="1" applyBorder="1" applyAlignment="1" applyProtection="1">
      <alignment horizontal="left" vertical="center"/>
    </xf>
    <xf numFmtId="0" fontId="20" fillId="2" borderId="8" xfId="0" applyNumberFormat="1" applyFont="1" applyFill="1" applyBorder="1" applyAlignment="1" applyProtection="1">
      <alignment vertical="center" wrapText="1"/>
    </xf>
    <xf numFmtId="0" fontId="20" fillId="2" borderId="8" xfId="0" applyNumberFormat="1" applyFont="1" applyFill="1" applyBorder="1" applyAlignment="1" applyProtection="1">
      <alignment horizontal="center" vertical="center" wrapText="1"/>
    </xf>
    <xf numFmtId="4" fontId="20" fillId="2" borderId="8" xfId="0" applyNumberFormat="1" applyFont="1" applyFill="1" applyBorder="1" applyAlignment="1" applyProtection="1">
      <alignment horizontal="right" vertical="center"/>
    </xf>
    <xf numFmtId="4" fontId="20" fillId="2" borderId="8" xfId="0" applyNumberFormat="1" applyFont="1" applyFill="1" applyBorder="1" applyAlignment="1" applyProtection="1">
      <alignment horizontal="center" vertical="center"/>
    </xf>
    <xf numFmtId="43" fontId="17" fillId="2" borderId="0" xfId="17" applyFont="1" applyFill="1" applyBorder="1" applyAlignment="1" applyProtection="1">
      <alignment vertical="center" wrapText="1"/>
    </xf>
    <xf numFmtId="43" fontId="17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24" fillId="2" borderId="0" xfId="0" applyFont="1" applyFill="1" applyAlignment="1">
      <alignment vertical="center"/>
    </xf>
    <xf numFmtId="171" fontId="28" fillId="0" borderId="8" xfId="0" applyNumberFormat="1" applyFont="1" applyFill="1" applyBorder="1" applyAlignment="1" applyProtection="1">
      <alignment horizontal="center" vertical="center"/>
    </xf>
    <xf numFmtId="0" fontId="28" fillId="0" borderId="8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0" fontId="28" fillId="0" borderId="8" xfId="0" applyNumberFormat="1" applyFont="1" applyFill="1" applyBorder="1" applyAlignment="1" applyProtection="1">
      <alignment horizontal="center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2" fontId="28" fillId="0" borderId="8" xfId="0" applyNumberFormat="1" applyFont="1" applyFill="1" applyBorder="1" applyAlignment="1" applyProtection="1">
      <alignment horizontal="center" vertical="center"/>
    </xf>
    <xf numFmtId="172" fontId="28" fillId="0" borderId="8" xfId="0" applyNumberFormat="1" applyFont="1" applyFill="1" applyBorder="1" applyAlignment="1" applyProtection="1">
      <alignment horizontal="right" vertical="center"/>
    </xf>
    <xf numFmtId="4" fontId="28" fillId="0" borderId="8" xfId="0" applyNumberFormat="1" applyFont="1" applyFill="1" applyBorder="1" applyAlignment="1" applyProtection="1">
      <alignment horizontal="center" vertical="center"/>
    </xf>
    <xf numFmtId="0" fontId="3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71" fontId="20" fillId="0" borderId="8" xfId="0" applyNumberFormat="1" applyFont="1" applyFill="1" applyBorder="1" applyAlignment="1" applyProtection="1">
      <alignment horizontal="center" vertical="center"/>
    </xf>
    <xf numFmtId="2" fontId="20" fillId="0" borderId="8" xfId="0" applyNumberFormat="1" applyFont="1" applyFill="1" applyBorder="1" applyAlignment="1" applyProtection="1">
      <alignment horizontal="center" vertical="center"/>
    </xf>
    <xf numFmtId="43" fontId="20" fillId="0" borderId="8" xfId="17" applyFont="1" applyBorder="1" applyAlignment="1">
      <alignment vertical="center"/>
    </xf>
    <xf numFmtId="43" fontId="20" fillId="0" borderId="8" xfId="17" applyFont="1" applyFill="1" applyBorder="1" applyAlignment="1" applyProtection="1">
      <alignment vertical="center" wrapText="1"/>
    </xf>
    <xf numFmtId="165" fontId="20" fillId="0" borderId="8" xfId="0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/>
    </xf>
    <xf numFmtId="164" fontId="20" fillId="0" borderId="8" xfId="0" applyNumberFormat="1" applyFont="1" applyFill="1" applyBorder="1" applyAlignment="1" applyProtection="1">
      <alignment horizontal="center" vertical="center"/>
    </xf>
    <xf numFmtId="167" fontId="20" fillId="0" borderId="8" xfId="0" applyNumberFormat="1" applyFont="1" applyFill="1" applyBorder="1" applyAlignment="1" applyProtection="1">
      <alignment horizontal="center" vertical="center"/>
    </xf>
    <xf numFmtId="43" fontId="23" fillId="2" borderId="8" xfId="17" applyFont="1" applyFill="1" applyBorder="1" applyAlignment="1">
      <alignment vertical="center"/>
    </xf>
    <xf numFmtId="0" fontId="17" fillId="2" borderId="0" xfId="0" applyNumberFormat="1" applyFont="1" applyFill="1" applyBorder="1" applyAlignment="1" applyProtection="1">
      <alignment vertical="center" wrapText="1"/>
    </xf>
    <xf numFmtId="167" fontId="28" fillId="0" borderId="8" xfId="0" applyNumberFormat="1" applyFont="1" applyFill="1" applyBorder="1" applyAlignment="1" applyProtection="1">
      <alignment horizontal="center" vertical="center"/>
    </xf>
    <xf numFmtId="173" fontId="20" fillId="0" borderId="8" xfId="0" applyNumberFormat="1" applyFont="1" applyFill="1" applyBorder="1" applyAlignment="1" applyProtection="1">
      <alignment horizontal="center" vertical="center"/>
    </xf>
    <xf numFmtId="0" fontId="20" fillId="2" borderId="8" xfId="0" applyNumberFormat="1" applyFont="1" applyFill="1" applyBorder="1" applyAlignment="1" applyProtection="1">
      <alignment horizontal="left" vertical="center" wrapText="1"/>
    </xf>
    <xf numFmtId="1" fontId="29" fillId="2" borderId="8" xfId="0" applyNumberFormat="1" applyFont="1" applyFill="1" applyBorder="1" applyAlignment="1" applyProtection="1">
      <alignment horizontal="center" vertical="center"/>
    </xf>
    <xf numFmtId="0" fontId="29" fillId="2" borderId="8" xfId="0" applyNumberFormat="1" applyFont="1" applyFill="1" applyBorder="1" applyAlignment="1" applyProtection="1">
      <alignment horizontal="center" vertical="center" wrapText="1"/>
    </xf>
    <xf numFmtId="4" fontId="29" fillId="2" borderId="8" xfId="0" applyNumberFormat="1" applyFont="1" applyFill="1" applyBorder="1" applyAlignment="1" applyProtection="1">
      <alignment horizontal="center" vertical="center"/>
    </xf>
    <xf numFmtId="2" fontId="28" fillId="2" borderId="8" xfId="0" applyNumberFormat="1" applyFont="1" applyFill="1" applyBorder="1" applyAlignment="1" applyProtection="1">
      <alignment horizontal="center" vertical="center"/>
    </xf>
    <xf numFmtId="0" fontId="28" fillId="2" borderId="8" xfId="0" applyNumberFormat="1" applyFont="1" applyFill="1" applyBorder="1" applyAlignment="1" applyProtection="1">
      <alignment horizontal="center" vertical="center"/>
    </xf>
    <xf numFmtId="171" fontId="28" fillId="2" borderId="8" xfId="0" applyNumberFormat="1" applyFont="1" applyFill="1" applyBorder="1" applyAlignment="1" applyProtection="1">
      <alignment horizontal="center" vertical="center"/>
    </xf>
    <xf numFmtId="0" fontId="28" fillId="2" borderId="8" xfId="0" applyNumberFormat="1" applyFont="1" applyFill="1" applyBorder="1" applyAlignment="1" applyProtection="1">
      <alignment horizontal="center" vertical="center" wrapText="1"/>
    </xf>
    <xf numFmtId="0" fontId="28" fillId="2" borderId="8" xfId="0" applyNumberFormat="1" applyFont="1" applyFill="1" applyBorder="1" applyAlignment="1" applyProtection="1">
      <alignment horizontal="left" vertical="center" wrapText="1"/>
    </xf>
    <xf numFmtId="1" fontId="28" fillId="2" borderId="8" xfId="0" applyNumberFormat="1" applyFont="1" applyFill="1" applyBorder="1" applyAlignment="1" applyProtection="1">
      <alignment horizontal="center" vertical="center"/>
    </xf>
    <xf numFmtId="172" fontId="28" fillId="2" borderId="8" xfId="0" applyNumberFormat="1" applyFont="1" applyFill="1" applyBorder="1" applyAlignment="1" applyProtection="1">
      <alignment horizontal="right" vertical="center"/>
    </xf>
    <xf numFmtId="4" fontId="28" fillId="2" borderId="8" xfId="0" applyNumberFormat="1" applyFont="1" applyFill="1" applyBorder="1" applyAlignment="1" applyProtection="1">
      <alignment horizontal="center" vertical="center"/>
    </xf>
    <xf numFmtId="43" fontId="28" fillId="2" borderId="8" xfId="17" applyFont="1" applyFill="1" applyBorder="1" applyAlignment="1">
      <alignment vertical="center"/>
    </xf>
    <xf numFmtId="43" fontId="28" fillId="2" borderId="8" xfId="17" applyFont="1" applyFill="1" applyBorder="1" applyAlignment="1" applyProtection="1">
      <alignment vertical="center" wrapText="1"/>
    </xf>
    <xf numFmtId="171" fontId="20" fillId="2" borderId="8" xfId="0" applyNumberFormat="1" applyFont="1" applyFill="1" applyBorder="1" applyAlignment="1" applyProtection="1">
      <alignment horizontal="center" vertical="center"/>
    </xf>
    <xf numFmtId="0" fontId="20" fillId="2" borderId="8" xfId="0" applyNumberFormat="1" applyFont="1" applyFill="1" applyBorder="1" applyAlignment="1" applyProtection="1">
      <alignment horizontal="center" vertical="center"/>
    </xf>
    <xf numFmtId="172" fontId="20" fillId="2" borderId="8" xfId="0" applyNumberFormat="1" applyFont="1" applyFill="1" applyBorder="1" applyAlignment="1" applyProtection="1">
      <alignment horizontal="right" vertical="center"/>
    </xf>
    <xf numFmtId="43" fontId="20" fillId="2" borderId="8" xfId="17" applyFont="1" applyFill="1" applyBorder="1" applyAlignment="1">
      <alignment vertical="center"/>
    </xf>
    <xf numFmtId="43" fontId="20" fillId="2" borderId="8" xfId="17" applyFont="1" applyFill="1" applyBorder="1" applyAlignment="1" applyProtection="1">
      <alignment vertical="center" wrapText="1"/>
    </xf>
    <xf numFmtId="2" fontId="29" fillId="2" borderId="8" xfId="0" applyNumberFormat="1" applyFont="1" applyFill="1" applyBorder="1" applyAlignment="1" applyProtection="1">
      <alignment horizontal="center" vertical="center"/>
    </xf>
    <xf numFmtId="0" fontId="29" fillId="2" borderId="8" xfId="0" applyNumberFormat="1" applyFont="1" applyFill="1" applyBorder="1" applyAlignment="1" applyProtection="1">
      <alignment horizontal="center" vertical="center"/>
    </xf>
    <xf numFmtId="171" fontId="29" fillId="2" borderId="8" xfId="0" applyNumberFormat="1" applyFont="1" applyFill="1" applyBorder="1" applyAlignment="1" applyProtection="1">
      <alignment horizontal="center" vertical="center"/>
    </xf>
    <xf numFmtId="172" fontId="29" fillId="2" borderId="8" xfId="0" applyNumberFormat="1" applyFont="1" applyFill="1" applyBorder="1" applyAlignment="1" applyProtection="1">
      <alignment horizontal="right" vertical="center"/>
    </xf>
    <xf numFmtId="43" fontId="29" fillId="2" borderId="8" xfId="17" applyFont="1" applyFill="1" applyBorder="1" applyAlignment="1">
      <alignment vertical="center"/>
    </xf>
    <xf numFmtId="43" fontId="29" fillId="2" borderId="8" xfId="17" applyFont="1" applyFill="1" applyBorder="1" applyAlignment="1" applyProtection="1">
      <alignment vertical="center" wrapText="1"/>
    </xf>
    <xf numFmtId="2" fontId="20" fillId="2" borderId="8" xfId="0" applyNumberFormat="1" applyFont="1" applyFill="1" applyBorder="1" applyAlignment="1" applyProtection="1">
      <alignment horizontal="center" vertical="center"/>
    </xf>
    <xf numFmtId="0" fontId="20" fillId="2" borderId="0" xfId="0" applyNumberFormat="1" applyFont="1" applyFill="1" applyBorder="1" applyAlignment="1" applyProtection="1">
      <alignment vertical="center" wrapText="1"/>
    </xf>
    <xf numFmtId="0" fontId="33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164" fontId="20" fillId="2" borderId="8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43" fontId="20" fillId="2" borderId="0" xfId="17" applyFont="1" applyFill="1" applyBorder="1" applyAlignment="1" applyProtection="1">
      <alignment vertical="center" wrapText="1"/>
    </xf>
    <xf numFmtId="43" fontId="20" fillId="2" borderId="0" xfId="0" applyNumberFormat="1" applyFont="1" applyFill="1" applyAlignment="1">
      <alignment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27" fillId="0" borderId="8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right" vertical="center" wrapText="1"/>
    </xf>
    <xf numFmtId="10" fontId="17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horizontal="left" vertical="top"/>
    </xf>
    <xf numFmtId="0" fontId="20" fillId="0" borderId="0" xfId="0" applyNumberFormat="1" applyFont="1" applyFill="1" applyBorder="1" applyAlignment="1" applyProtection="1">
      <alignment horizontal="left" vertical="top" wrapText="1"/>
    </xf>
    <xf numFmtId="43" fontId="37" fillId="0" borderId="0" xfId="17" applyFont="1" applyAlignment="1">
      <alignment vertical="center"/>
    </xf>
    <xf numFmtId="174" fontId="37" fillId="0" borderId="0" xfId="0" applyNumberFormat="1" applyFont="1" applyFill="1" applyBorder="1" applyAlignment="1" applyProtection="1">
      <alignment vertical="center" wrapText="1"/>
    </xf>
    <xf numFmtId="4" fontId="39" fillId="0" borderId="8" xfId="0" applyNumberFormat="1" applyFont="1" applyFill="1" applyBorder="1" applyAlignment="1" applyProtection="1">
      <alignment horizontal="center" vertical="center"/>
    </xf>
    <xf numFmtId="4" fontId="39" fillId="0" borderId="8" xfId="0" applyNumberFormat="1" applyFont="1" applyFill="1" applyBorder="1" applyAlignment="1" applyProtection="1">
      <alignment horizontal="right" vertical="center"/>
    </xf>
    <xf numFmtId="4" fontId="40" fillId="3" borderId="8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right" vertical="top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164" fontId="23" fillId="5" borderId="8" xfId="0" applyNumberFormat="1" applyFont="1" applyFill="1" applyBorder="1" applyAlignment="1" applyProtection="1">
      <alignment horizontal="center" vertical="center"/>
    </xf>
    <xf numFmtId="173" fontId="23" fillId="5" borderId="8" xfId="0" applyNumberFormat="1" applyFont="1" applyFill="1" applyBorder="1" applyAlignment="1" applyProtection="1">
      <alignment horizontal="center" vertical="center"/>
    </xf>
    <xf numFmtId="165" fontId="23" fillId="5" borderId="8" xfId="0" applyNumberFormat="1" applyFont="1" applyFill="1" applyBorder="1" applyAlignment="1" applyProtection="1">
      <alignment horizontal="center" vertical="center"/>
    </xf>
    <xf numFmtId="4" fontId="23" fillId="5" borderId="8" xfId="0" applyNumberFormat="1" applyFont="1" applyFill="1" applyBorder="1" applyAlignment="1" applyProtection="1">
      <alignment horizontal="center" vertical="center"/>
    </xf>
    <xf numFmtId="2" fontId="23" fillId="5" borderId="8" xfId="0" applyNumberFormat="1" applyFont="1" applyFill="1" applyBorder="1" applyAlignment="1" applyProtection="1">
      <alignment horizontal="center" vertical="center"/>
    </xf>
    <xf numFmtId="1" fontId="23" fillId="5" borderId="8" xfId="0" applyNumberFormat="1" applyFont="1" applyFill="1" applyBorder="1" applyAlignment="1" applyProtection="1">
      <alignment horizontal="center" vertical="center"/>
    </xf>
    <xf numFmtId="167" fontId="23" fillId="5" borderId="8" xfId="0" applyNumberFormat="1" applyFont="1" applyFill="1" applyBorder="1" applyAlignment="1" applyProtection="1">
      <alignment horizontal="center" vertical="center"/>
    </xf>
    <xf numFmtId="171" fontId="23" fillId="5" borderId="8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7" applyFont="1" applyAlignment="1">
      <alignment horizontal="center" vertical="center"/>
    </xf>
    <xf numFmtId="43" fontId="41" fillId="0" borderId="0" xfId="17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3" fontId="5" fillId="0" borderId="0" xfId="17" applyFont="1" applyFill="1" applyBorder="1" applyAlignment="1" applyProtection="1">
      <alignment horizontal="center" vertical="center"/>
    </xf>
    <xf numFmtId="0" fontId="41" fillId="0" borderId="0" xfId="0" applyNumberFormat="1" applyFont="1" applyFill="1" applyBorder="1" applyAlignment="1" applyProtection="1">
      <alignment horizontal="center" vertical="center"/>
    </xf>
    <xf numFmtId="49" fontId="41" fillId="0" borderId="0" xfId="0" applyNumberFormat="1" applyFont="1" applyFill="1" applyBorder="1" applyAlignment="1" applyProtection="1">
      <alignment horizontal="center" vertical="center"/>
    </xf>
    <xf numFmtId="0" fontId="43" fillId="0" borderId="0" xfId="0" applyNumberFormat="1" applyFont="1" applyFill="1" applyBorder="1" applyAlignment="1" applyProtection="1">
      <alignment horizontal="left" vertical="center"/>
    </xf>
    <xf numFmtId="43" fontId="42" fillId="0" borderId="0" xfId="17" applyFont="1" applyFill="1" applyBorder="1" applyAlignment="1" applyProtection="1">
      <alignment horizontal="center" vertical="center"/>
    </xf>
    <xf numFmtId="0" fontId="41" fillId="0" borderId="0" xfId="0" applyNumberFormat="1" applyFont="1" applyFill="1" applyBorder="1" applyAlignment="1" applyProtection="1">
      <alignment horizontal="left" vertical="center"/>
    </xf>
    <xf numFmtId="0" fontId="44" fillId="0" borderId="0" xfId="0" applyNumberFormat="1" applyFont="1" applyFill="1" applyBorder="1" applyAlignment="1" applyProtection="1">
      <alignment horizontal="left" vertical="center"/>
    </xf>
    <xf numFmtId="43" fontId="44" fillId="0" borderId="0" xfId="17" applyFont="1" applyFill="1" applyBorder="1" applyAlignment="1" applyProtection="1">
      <alignment horizontal="center" vertical="center"/>
    </xf>
    <xf numFmtId="43" fontId="45" fillId="0" borderId="0" xfId="17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41" fillId="0" borderId="8" xfId="0" applyNumberFormat="1" applyFont="1" applyFill="1" applyBorder="1" applyAlignment="1" applyProtection="1">
      <alignment horizontal="center" vertical="center"/>
    </xf>
    <xf numFmtId="43" fontId="41" fillId="0" borderId="8" xfId="17" applyFont="1" applyFill="1" applyBorder="1" applyAlignment="1" applyProtection="1">
      <alignment horizontal="center" vertical="center"/>
    </xf>
    <xf numFmtId="49" fontId="41" fillId="0" borderId="8" xfId="0" applyNumberFormat="1" applyFont="1" applyFill="1" applyBorder="1" applyAlignment="1" applyProtection="1">
      <alignment horizontal="center" vertical="center" wrapText="1"/>
    </xf>
    <xf numFmtId="49" fontId="41" fillId="0" borderId="8" xfId="0" applyNumberFormat="1" applyFont="1" applyFill="1" applyBorder="1" applyAlignment="1" applyProtection="1">
      <alignment horizontal="left" vertical="center" wrapText="1"/>
    </xf>
    <xf numFmtId="43" fontId="41" fillId="0" borderId="8" xfId="17" applyFont="1" applyFill="1" applyBorder="1" applyAlignment="1" applyProtection="1">
      <alignment horizontal="center" vertical="center" wrapText="1"/>
    </xf>
    <xf numFmtId="0" fontId="47" fillId="0" borderId="8" xfId="0" applyNumberFormat="1" applyFont="1" applyFill="1" applyBorder="1" applyAlignment="1" applyProtection="1">
      <alignment horizontal="center" vertical="center"/>
    </xf>
    <xf numFmtId="49" fontId="44" fillId="0" borderId="8" xfId="0" applyNumberFormat="1" applyFont="1" applyFill="1" applyBorder="1" applyAlignment="1" applyProtection="1">
      <alignment horizontal="center" vertical="center" wrapText="1"/>
    </xf>
    <xf numFmtId="49" fontId="44" fillId="0" borderId="8" xfId="0" applyNumberFormat="1" applyFont="1" applyFill="1" applyBorder="1" applyAlignment="1" applyProtection="1">
      <alignment horizontal="left" vertical="center" wrapText="1"/>
    </xf>
    <xf numFmtId="43" fontId="44" fillId="0" borderId="8" xfId="17" applyFont="1" applyFill="1" applyBorder="1" applyAlignment="1" applyProtection="1">
      <alignment horizontal="center" vertical="center" wrapText="1"/>
    </xf>
    <xf numFmtId="0" fontId="47" fillId="0" borderId="0" xfId="0" applyFont="1" applyAlignment="1">
      <alignment horizontal="center" vertical="center"/>
    </xf>
    <xf numFmtId="175" fontId="44" fillId="0" borderId="8" xfId="17" applyNumberFormat="1" applyFont="1" applyFill="1" applyBorder="1" applyAlignment="1" applyProtection="1">
      <alignment horizontal="center" vertical="center" wrapText="1"/>
    </xf>
    <xf numFmtId="49" fontId="41" fillId="0" borderId="14" xfId="0" applyNumberFormat="1" applyFont="1" applyFill="1" applyBorder="1" applyAlignment="1" applyProtection="1">
      <alignment horizontal="center" vertical="center" wrapText="1"/>
    </xf>
    <xf numFmtId="49" fontId="41" fillId="0" borderId="14" xfId="0" applyNumberFormat="1" applyFont="1" applyFill="1" applyBorder="1" applyAlignment="1" applyProtection="1">
      <alignment horizontal="left" vertical="center" wrapText="1"/>
    </xf>
    <xf numFmtId="43" fontId="41" fillId="0" borderId="14" xfId="17" applyFont="1" applyFill="1" applyBorder="1" applyAlignment="1" applyProtection="1">
      <alignment horizontal="center" vertical="center" wrapText="1"/>
    </xf>
    <xf numFmtId="49" fontId="41" fillId="0" borderId="0" xfId="0" applyNumberFormat="1" applyFont="1" applyFill="1" applyBorder="1" applyAlignment="1" applyProtection="1">
      <alignment horizontal="center" vertical="center" wrapText="1"/>
    </xf>
    <xf numFmtId="49" fontId="41" fillId="0" borderId="0" xfId="0" applyNumberFormat="1" applyFont="1" applyFill="1" applyBorder="1" applyAlignment="1" applyProtection="1">
      <alignment horizontal="left" vertical="center" wrapText="1"/>
    </xf>
    <xf numFmtId="43" fontId="41" fillId="0" borderId="0" xfId="17" applyFont="1" applyFill="1" applyBorder="1" applyAlignment="1" applyProtection="1">
      <alignment horizontal="center" vertical="center" wrapText="1"/>
    </xf>
    <xf numFmtId="0" fontId="43" fillId="0" borderId="0" xfId="0" applyNumberFormat="1" applyFont="1" applyFill="1" applyBorder="1" applyAlignment="1" applyProtection="1">
      <alignment horizontal="center" vertical="center"/>
    </xf>
    <xf numFmtId="43" fontId="43" fillId="0" borderId="0" xfId="17" applyFont="1" applyFill="1" applyBorder="1" applyAlignment="1" applyProtection="1">
      <alignment horizontal="center" vertical="center"/>
    </xf>
    <xf numFmtId="0" fontId="43" fillId="0" borderId="13" xfId="0" applyNumberFormat="1" applyFont="1" applyFill="1" applyBorder="1" applyAlignment="1" applyProtection="1">
      <alignment horizontal="left" vertical="center"/>
    </xf>
    <xf numFmtId="43" fontId="43" fillId="0" borderId="13" xfId="17" applyFont="1" applyFill="1" applyBorder="1" applyAlignment="1" applyProtection="1">
      <alignment horizontal="center" vertical="center"/>
    </xf>
    <xf numFmtId="43" fontId="41" fillId="0" borderId="13" xfId="17" applyFont="1" applyFill="1" applyBorder="1" applyAlignment="1" applyProtection="1">
      <alignment horizontal="center" vertical="center"/>
    </xf>
    <xf numFmtId="0" fontId="42" fillId="0" borderId="14" xfId="0" applyNumberFormat="1" applyFont="1" applyFill="1" applyBorder="1" applyAlignment="1" applyProtection="1">
      <alignment horizontal="left" vertical="center"/>
    </xf>
    <xf numFmtId="43" fontId="42" fillId="0" borderId="14" xfId="17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left" vertical="center"/>
    </xf>
    <xf numFmtId="0" fontId="0" fillId="0" borderId="8" xfId="0" applyNumberFormat="1" applyFont="1" applyFill="1" applyBorder="1" applyAlignment="1" applyProtection="1">
      <alignment horizontal="left" vertical="center"/>
    </xf>
    <xf numFmtId="0" fontId="6" fillId="0" borderId="0" xfId="2" applyAlignment="1">
      <alignment horizontal="center" vertical="center"/>
    </xf>
    <xf numFmtId="4" fontId="20" fillId="6" borderId="8" xfId="0" applyNumberFormat="1" applyFont="1" applyFill="1" applyBorder="1" applyAlignment="1" applyProtection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0" fontId="17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right"/>
    </xf>
    <xf numFmtId="0" fontId="17" fillId="2" borderId="0" xfId="0" applyNumberFormat="1" applyFont="1" applyFill="1" applyBorder="1" applyAlignment="1" applyProtection="1">
      <alignment vertical="center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left" wrapText="1"/>
    </xf>
    <xf numFmtId="0" fontId="17" fillId="0" borderId="5" xfId="0" applyNumberFormat="1" applyFont="1" applyFill="1" applyBorder="1" applyAlignment="1" applyProtection="1">
      <alignment horizontal="center" wrapText="1"/>
    </xf>
    <xf numFmtId="0" fontId="17" fillId="0" borderId="6" xfId="0" applyNumberFormat="1" applyFont="1" applyFill="1" applyBorder="1" applyAlignment="1" applyProtection="1">
      <alignment horizontal="center" wrapText="1"/>
    </xf>
    <xf numFmtId="3" fontId="17" fillId="0" borderId="8" xfId="0" applyNumberFormat="1" applyFont="1" applyFill="1" applyBorder="1" applyAlignment="1" applyProtection="1">
      <alignment horizontal="center" vertical="top"/>
    </xf>
    <xf numFmtId="0" fontId="17" fillId="0" borderId="8" xfId="0" applyNumberFormat="1" applyFont="1" applyFill="1" applyBorder="1" applyAlignment="1" applyProtection="1">
      <alignment horizontal="center" vertical="top"/>
    </xf>
    <xf numFmtId="3" fontId="17" fillId="0" borderId="9" xfId="0" applyNumberFormat="1" applyFont="1" applyFill="1" applyBorder="1" applyAlignment="1" applyProtection="1">
      <alignment horizontal="center" vertical="top"/>
    </xf>
    <xf numFmtId="3" fontId="20" fillId="0" borderId="11" xfId="0" applyNumberFormat="1" applyFont="1" applyFill="1" applyBorder="1" applyAlignment="1" applyProtection="1">
      <alignment horizontal="center" vertical="top"/>
    </xf>
    <xf numFmtId="0" fontId="20" fillId="0" borderId="11" xfId="0" applyNumberFormat="1" applyFont="1" applyFill="1" applyBorder="1" applyAlignment="1" applyProtection="1">
      <alignment horizontal="center" vertical="top"/>
    </xf>
    <xf numFmtId="3" fontId="20" fillId="0" borderId="12" xfId="0" applyNumberFormat="1" applyFont="1" applyFill="1" applyBorder="1" applyAlignment="1" applyProtection="1">
      <alignment horizontal="center" vertical="top"/>
    </xf>
    <xf numFmtId="0" fontId="17" fillId="0" borderId="20" xfId="0" applyNumberFormat="1" applyFont="1" applyFill="1" applyBorder="1" applyAlignment="1" applyProtection="1"/>
    <xf numFmtId="0" fontId="17" fillId="0" borderId="20" xfId="0" applyNumberFormat="1" applyFont="1" applyFill="1" applyBorder="1" applyAlignment="1" applyProtection="1">
      <alignment horizontal="center" wrapText="1"/>
    </xf>
    <xf numFmtId="0" fontId="17" fillId="0" borderId="0" xfId="0" applyNumberFormat="1" applyFont="1" applyFill="1" applyBorder="1" applyAlignment="1" applyProtection="1">
      <alignment horizontal="center" vertical="top" wrapText="1"/>
    </xf>
    <xf numFmtId="0" fontId="17" fillId="0" borderId="0" xfId="0" applyNumberFormat="1" applyFont="1" applyFill="1" applyBorder="1" applyAlignment="1" applyProtection="1">
      <alignment horizontal="center" wrapText="1"/>
    </xf>
    <xf numFmtId="0" fontId="17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vertical="top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right" wrapText="1"/>
    </xf>
    <xf numFmtId="165" fontId="17" fillId="0" borderId="0" xfId="21" applyNumberFormat="1" applyFont="1" applyFill="1" applyBorder="1" applyAlignment="1" applyProtection="1">
      <alignment horizontal="center" vertical="center" wrapText="1"/>
    </xf>
    <xf numFmtId="1" fontId="20" fillId="0" borderId="0" xfId="0" applyNumberFormat="1" applyFont="1" applyFill="1" applyBorder="1" applyAlignment="1" applyProtection="1">
      <alignment horizontal="center"/>
    </xf>
    <xf numFmtId="0" fontId="20" fillId="5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vertical="top"/>
    </xf>
    <xf numFmtId="165" fontId="17" fillId="0" borderId="0" xfId="0" applyNumberFormat="1" applyFont="1" applyFill="1" applyBorder="1" applyAlignment="1" applyProtection="1">
      <alignment horizontal="center" vertical="center"/>
    </xf>
    <xf numFmtId="165" fontId="20" fillId="5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wrapText="1"/>
    </xf>
    <xf numFmtId="0" fontId="23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center" vertical="center"/>
    </xf>
    <xf numFmtId="0" fontId="42" fillId="0" borderId="14" xfId="0" applyNumberFormat="1" applyFont="1" applyFill="1" applyBorder="1" applyAlignment="1" applyProtection="1">
      <alignment horizontal="center" vertical="center"/>
    </xf>
    <xf numFmtId="49" fontId="46" fillId="0" borderId="8" xfId="0" applyNumberFormat="1" applyFont="1" applyFill="1" applyBorder="1" applyAlignment="1" applyProtection="1">
      <alignment horizontal="left" vertical="center" wrapText="1"/>
    </xf>
    <xf numFmtId="49" fontId="41" fillId="0" borderId="8" xfId="0" applyNumberFormat="1" applyFont="1" applyFill="1" applyBorder="1" applyAlignment="1" applyProtection="1">
      <alignment horizontal="left" vertical="center" wrapText="1"/>
    </xf>
    <xf numFmtId="49" fontId="46" fillId="0" borderId="8" xfId="0" applyNumberFormat="1" applyFont="1" applyFill="1" applyBorder="1" applyAlignment="1" applyProtection="1">
      <alignment horizontal="center" vertical="center" wrapText="1"/>
    </xf>
    <xf numFmtId="49" fontId="41" fillId="0" borderId="8" xfId="0" applyNumberFormat="1" applyFont="1" applyFill="1" applyBorder="1" applyAlignment="1" applyProtection="1">
      <alignment horizontal="center" vertical="center" wrapText="1"/>
    </xf>
    <xf numFmtId="49" fontId="41" fillId="0" borderId="0" xfId="0" applyNumberFormat="1" applyFont="1" applyFill="1" applyBorder="1" applyAlignment="1" applyProtection="1">
      <alignment horizontal="left" vertical="center"/>
    </xf>
    <xf numFmtId="0" fontId="41" fillId="0" borderId="8" xfId="0" applyNumberFormat="1" applyFont="1" applyFill="1" applyBorder="1" applyAlignment="1" applyProtection="1">
      <alignment horizontal="center" vertical="center" wrapText="1"/>
    </xf>
    <xf numFmtId="0" fontId="41" fillId="0" borderId="8" xfId="0" applyNumberFormat="1" applyFont="1" applyFill="1" applyBorder="1" applyAlignment="1" applyProtection="1">
      <alignment horizontal="left" vertical="center" wrapText="1"/>
    </xf>
    <xf numFmtId="43" fontId="41" fillId="0" borderId="16" xfId="17" applyFont="1" applyFill="1" applyBorder="1" applyAlignment="1" applyProtection="1">
      <alignment horizontal="center" vertical="center" wrapText="1"/>
    </xf>
    <xf numFmtId="43" fontId="41" fillId="0" borderId="17" xfId="17" applyFont="1" applyFill="1" applyBorder="1" applyAlignment="1" applyProtection="1">
      <alignment horizontal="center" vertical="center"/>
    </xf>
    <xf numFmtId="43" fontId="41" fillId="0" borderId="18" xfId="17" applyFont="1" applyFill="1" applyBorder="1" applyAlignment="1" applyProtection="1">
      <alignment horizontal="center" vertical="center"/>
    </xf>
    <xf numFmtId="43" fontId="41" fillId="0" borderId="8" xfId="17" applyFont="1" applyFill="1" applyBorder="1" applyAlignment="1" applyProtection="1">
      <alignment horizontal="center" vertical="center" wrapText="1"/>
    </xf>
    <xf numFmtId="43" fontId="41" fillId="0" borderId="15" xfId="17" applyFont="1" applyFill="1" applyBorder="1" applyAlignment="1" applyProtection="1">
      <alignment horizontal="center" vertical="center" wrapText="1"/>
    </xf>
    <xf numFmtId="43" fontId="41" fillId="0" borderId="19" xfId="17" applyFont="1" applyFill="1" applyBorder="1" applyAlignment="1" applyProtection="1">
      <alignment horizontal="center" vertical="center" wrapText="1"/>
    </xf>
    <xf numFmtId="43" fontId="41" fillId="0" borderId="5" xfId="17" applyFont="1" applyFill="1" applyBorder="1" applyAlignment="1" applyProtection="1">
      <alignment horizontal="center" vertical="center" wrapText="1"/>
    </xf>
    <xf numFmtId="0" fontId="42" fillId="0" borderId="14" xfId="0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4" fillId="0" borderId="13" xfId="0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 applyAlignment="1">
      <alignment horizontal="left" vertical="top" wrapText="1"/>
    </xf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Fill="1" applyAlignment="1">
      <alignment horizontal="left" vertical="top" wrapText="1"/>
    </xf>
    <xf numFmtId="0" fontId="27" fillId="0" borderId="8" xfId="0" applyNumberFormat="1" applyFont="1" applyFill="1" applyBorder="1" applyAlignment="1" applyProtection="1">
      <alignment horizontal="center" vertical="center"/>
    </xf>
    <xf numFmtId="0" fontId="27" fillId="0" borderId="8" xfId="0" applyNumberFormat="1" applyFont="1" applyFill="1" applyBorder="1" applyAlignment="1" applyProtection="1">
      <alignment horizontal="center" vertical="center" wrapText="1"/>
    </xf>
    <xf numFmtId="0" fontId="20" fillId="4" borderId="8" xfId="0" applyNumberFormat="1" applyFont="1" applyFill="1" applyBorder="1" applyAlignment="1" applyProtection="1">
      <alignment horizontal="left" vertical="center"/>
    </xf>
    <xf numFmtId="0" fontId="23" fillId="0" borderId="16" xfId="0" applyNumberFormat="1" applyFont="1" applyFill="1" applyBorder="1" applyAlignment="1" applyProtection="1">
      <alignment horizontal="left" vertical="center"/>
    </xf>
    <xf numFmtId="0" fontId="23" fillId="0" borderId="17" xfId="0" applyNumberFormat="1" applyFont="1" applyFill="1" applyBorder="1" applyAlignment="1" applyProtection="1">
      <alignment horizontal="left" vertical="center"/>
    </xf>
    <xf numFmtId="0" fontId="23" fillId="0" borderId="18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7" fillId="0" borderId="15" xfId="0" applyNumberFormat="1" applyFont="1" applyFill="1" applyBorder="1" applyAlignment="1" applyProtection="1">
      <alignment horizontal="center" vertical="center" wrapText="1"/>
    </xf>
    <xf numFmtId="0" fontId="27" fillId="0" borderId="19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27" fillId="0" borderId="21" xfId="0" applyNumberFormat="1" applyFont="1" applyFill="1" applyBorder="1" applyAlignment="1" applyProtection="1">
      <alignment horizontal="center" vertical="center" wrapText="1"/>
    </xf>
    <xf numFmtId="0" fontId="27" fillId="0" borderId="22" xfId="0" applyNumberFormat="1" applyFont="1" applyFill="1" applyBorder="1" applyAlignment="1" applyProtection="1">
      <alignment horizontal="center" vertical="center" wrapText="1"/>
    </xf>
    <xf numFmtId="0" fontId="27" fillId="0" borderId="23" xfId="0" applyNumberFormat="1" applyFont="1" applyFill="1" applyBorder="1" applyAlignment="1" applyProtection="1">
      <alignment horizontal="center" vertical="center" wrapText="1"/>
    </xf>
    <xf numFmtId="0" fontId="27" fillId="0" borderId="24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4" fillId="0" borderId="0" xfId="20" applyFont="1" applyAlignment="1">
      <alignment horizontal="left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18" fillId="2" borderId="0" xfId="0" applyNumberFormat="1" applyFont="1" applyFill="1" applyBorder="1" applyAlignment="1" applyProtection="1">
      <alignment horizontal="center" vertical="center"/>
    </xf>
    <xf numFmtId="0" fontId="19" fillId="2" borderId="0" xfId="0" applyNumberFormat="1" applyFont="1" applyFill="1" applyBorder="1" applyAlignment="1" applyProtection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right" vertical="top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wrapText="1"/>
    </xf>
    <xf numFmtId="0" fontId="17" fillId="0" borderId="5" xfId="0" applyNumberFormat="1" applyFont="1" applyFill="1" applyBorder="1" applyAlignment="1" applyProtection="1">
      <alignment horizontal="center" wrapText="1"/>
    </xf>
    <xf numFmtId="0" fontId="17" fillId="0" borderId="7" xfId="0" applyNumberFormat="1" applyFont="1" applyFill="1" applyBorder="1" applyAlignment="1" applyProtection="1">
      <alignment horizontal="left" vertical="top"/>
    </xf>
    <xf numFmtId="0" fontId="17" fillId="0" borderId="8" xfId="0" applyNumberFormat="1" applyFont="1" applyFill="1" applyBorder="1" applyAlignment="1" applyProtection="1">
      <alignment horizontal="left" vertical="top"/>
    </xf>
    <xf numFmtId="0" fontId="20" fillId="0" borderId="10" xfId="0" applyNumberFormat="1" applyFont="1" applyFill="1" applyBorder="1" applyAlignment="1" applyProtection="1">
      <alignment horizontal="left" vertical="top"/>
    </xf>
    <xf numFmtId="0" fontId="20" fillId="0" borderId="11" xfId="0" applyNumberFormat="1" applyFont="1" applyFill="1" applyBorder="1" applyAlignment="1" applyProtection="1">
      <alignment horizontal="left" vertical="top"/>
    </xf>
    <xf numFmtId="0" fontId="17" fillId="0" borderId="0" xfId="0" applyNumberFormat="1" applyFont="1" applyFill="1" applyBorder="1" applyAlignment="1" applyProtection="1">
      <alignment horizontal="center" vertical="center"/>
    </xf>
    <xf numFmtId="171" fontId="17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right"/>
    </xf>
    <xf numFmtId="49" fontId="20" fillId="0" borderId="0" xfId="0" applyNumberFormat="1" applyFont="1" applyFill="1" applyBorder="1" applyAlignment="1" applyProtection="1">
      <alignment horizontal="center" wrapText="1"/>
    </xf>
    <xf numFmtId="0" fontId="20" fillId="0" borderId="0" xfId="0" applyNumberFormat="1" applyFont="1" applyFill="1" applyBorder="1" applyAlignment="1" applyProtection="1">
      <alignment horizontal="left" vertical="top"/>
    </xf>
    <xf numFmtId="0" fontId="20" fillId="0" borderId="0" xfId="0" applyNumberFormat="1" applyFont="1" applyFill="1" applyBorder="1" applyAlignment="1" applyProtection="1">
      <alignment horizontal="right" vertical="top" wrapText="1"/>
    </xf>
  </cellXfs>
  <cellStyles count="22">
    <cellStyle name="ИтогоБИМ" xfId="13" xr:uid="{00000000-0005-0000-0000-000000000000}"/>
    <cellStyle name="ЛокСмМТСН" xfId="3" xr:uid="{00000000-0005-0000-0000-000001000000}"/>
    <cellStyle name="Обычный" xfId="0" builtinId="0"/>
    <cellStyle name="Обычный 2" xfId="1" xr:uid="{00000000-0005-0000-0000-00002F000000}"/>
    <cellStyle name="Обычный 2 2" xfId="8" xr:uid="{00000000-0005-0000-0000-000004000000}"/>
    <cellStyle name="Обычный 2 2 2" xfId="20" xr:uid="{E107D426-8845-4959-87F3-DD11E473D86B}"/>
    <cellStyle name="Обычный 2 3" xfId="9" xr:uid="{00000000-0005-0000-0000-000005000000}"/>
    <cellStyle name="Обычный 2 4" xfId="4" xr:uid="{00000000-0005-0000-0000-000003000000}"/>
    <cellStyle name="Обычный 3" xfId="5" xr:uid="{00000000-0005-0000-0000-000006000000}"/>
    <cellStyle name="Обычный 4" xfId="6" xr:uid="{00000000-0005-0000-0000-000007000000}"/>
    <cellStyle name="Обычный 5" xfId="7" xr:uid="{00000000-0005-0000-0000-000008000000}"/>
    <cellStyle name="Обычный 6" xfId="11" xr:uid="{00000000-0005-0000-0000-000009000000}"/>
    <cellStyle name="Обычный 7" xfId="16" xr:uid="{00000000-0005-0000-0000-00000A000000}"/>
    <cellStyle name="Обычный 8" xfId="2" xr:uid="{00000000-0005-0000-0000-000032000000}"/>
    <cellStyle name="Обычный 9" xfId="18" xr:uid="{00000000-0005-0000-0000-000031000000}"/>
    <cellStyle name="Процентный" xfId="21" builtinId="5"/>
    <cellStyle name="СводРасч" xfId="14" xr:uid="{00000000-0005-0000-0000-00000B000000}"/>
    <cellStyle name="Титул" xfId="12" xr:uid="{00000000-0005-0000-0000-00000C000000}"/>
    <cellStyle name="Финансовый" xfId="17" builtinId="3"/>
    <cellStyle name="Финансовый 2" xfId="10" xr:uid="{00000000-0005-0000-0000-00000D000000}"/>
    <cellStyle name="Финансовый 3" xfId="19" xr:uid="{00000000-0005-0000-0000-00003E000000}"/>
    <cellStyle name="Хвост" xfId="15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025D0-08CD-4864-B4A1-A8E3D7BC66A2}">
  <dimension ref="A1:I103"/>
  <sheetViews>
    <sheetView topLeftCell="B79" workbookViewId="0">
      <selection activeCell="B101" sqref="B101"/>
    </sheetView>
  </sheetViews>
  <sheetFormatPr defaultColWidth="9.140625" defaultRowHeight="15" x14ac:dyDescent="0.25"/>
  <cols>
    <col min="1" max="1" width="4.5703125" style="311" hidden="1" customWidth="1"/>
    <col min="2" max="2" width="4.42578125" style="311" customWidth="1"/>
    <col min="3" max="3" width="9.5703125" style="311" customWidth="1"/>
    <col min="4" max="4" width="46.140625" style="312" customWidth="1"/>
    <col min="5" max="9" width="15" style="313" customWidth="1"/>
    <col min="10" max="16384" width="9.140625" style="311"/>
  </cols>
  <sheetData>
    <row r="1" spans="2:9" x14ac:dyDescent="0.25">
      <c r="I1" s="314" t="s">
        <v>25</v>
      </c>
    </row>
    <row r="2" spans="2:9" x14ac:dyDescent="0.25">
      <c r="B2" s="315"/>
      <c r="C2" s="316"/>
      <c r="D2" s="317"/>
      <c r="E2" s="318"/>
      <c r="F2" s="318"/>
      <c r="G2" s="318"/>
      <c r="H2" s="318"/>
      <c r="I2" s="314" t="s">
        <v>26</v>
      </c>
    </row>
    <row r="3" spans="2:9" x14ac:dyDescent="0.25">
      <c r="B3" s="319"/>
      <c r="C3" s="320" t="s">
        <v>4144</v>
      </c>
      <c r="D3" s="408" t="s">
        <v>180</v>
      </c>
      <c r="E3" s="408"/>
      <c r="F3" s="408"/>
      <c r="G3" s="408"/>
      <c r="H3" s="408"/>
      <c r="I3" s="314"/>
    </row>
    <row r="4" spans="2:9" x14ac:dyDescent="0.25">
      <c r="B4" s="319"/>
      <c r="C4" s="320"/>
      <c r="D4" s="407" t="s">
        <v>27</v>
      </c>
      <c r="E4" s="407"/>
      <c r="F4" s="407"/>
      <c r="G4" s="407"/>
      <c r="H4" s="407"/>
      <c r="I4" s="314"/>
    </row>
    <row r="5" spans="2:9" x14ac:dyDescent="0.25">
      <c r="B5" s="319"/>
      <c r="C5" s="320" t="s">
        <v>4145</v>
      </c>
      <c r="D5" s="321"/>
      <c r="E5" s="314"/>
      <c r="F5" s="322"/>
      <c r="G5" s="314"/>
      <c r="H5" s="314"/>
      <c r="I5" s="314"/>
    </row>
    <row r="6" spans="2:9" x14ac:dyDescent="0.25">
      <c r="B6" s="319"/>
      <c r="C6" s="320"/>
      <c r="D6" s="323"/>
      <c r="E6" s="314"/>
      <c r="F6" s="322"/>
      <c r="G6" s="314"/>
      <c r="H6" s="314"/>
      <c r="I6" s="314"/>
    </row>
    <row r="7" spans="2:9" x14ac:dyDescent="0.25">
      <c r="B7" s="319"/>
      <c r="C7" s="324" t="s">
        <v>4208</v>
      </c>
      <c r="D7" s="324"/>
      <c r="E7" s="325"/>
      <c r="F7" s="326"/>
      <c r="G7" s="325"/>
      <c r="H7" s="325"/>
      <c r="I7" s="314"/>
    </row>
    <row r="8" spans="2:9" x14ac:dyDescent="0.25">
      <c r="B8" s="319"/>
      <c r="C8" s="320"/>
      <c r="D8" s="408"/>
      <c r="E8" s="408"/>
      <c r="F8" s="408"/>
      <c r="G8" s="408"/>
      <c r="H8" s="408"/>
      <c r="I8" s="314"/>
    </row>
    <row r="9" spans="2:9" x14ac:dyDescent="0.25">
      <c r="B9" s="319"/>
      <c r="C9" s="320"/>
      <c r="D9" s="407" t="s">
        <v>28</v>
      </c>
      <c r="E9" s="407"/>
      <c r="F9" s="407"/>
      <c r="G9" s="407"/>
      <c r="H9" s="407"/>
      <c r="I9" s="314"/>
    </row>
    <row r="10" spans="2:9" x14ac:dyDescent="0.25">
      <c r="B10" s="319"/>
      <c r="C10" s="320"/>
      <c r="D10" s="323"/>
      <c r="E10" s="314"/>
      <c r="F10" s="322"/>
      <c r="G10" s="314"/>
      <c r="H10" s="314"/>
      <c r="I10" s="314"/>
    </row>
    <row r="11" spans="2:9" x14ac:dyDescent="0.25">
      <c r="B11" s="319"/>
      <c r="C11" s="320"/>
      <c r="D11" s="323"/>
      <c r="E11" s="314"/>
      <c r="F11" s="314"/>
      <c r="G11" s="314"/>
      <c r="H11" s="314"/>
      <c r="I11" s="314"/>
    </row>
    <row r="12" spans="2:9" x14ac:dyDescent="0.25">
      <c r="B12" s="319"/>
      <c r="C12" s="320"/>
      <c r="D12" s="323"/>
      <c r="E12" s="325" t="s">
        <v>4146</v>
      </c>
      <c r="F12" s="314"/>
      <c r="G12" s="314"/>
      <c r="H12" s="314"/>
      <c r="I12" s="314"/>
    </row>
    <row r="13" spans="2:9" x14ac:dyDescent="0.25">
      <c r="B13" s="319"/>
      <c r="C13" s="320"/>
      <c r="D13" s="409" t="s">
        <v>4113</v>
      </c>
      <c r="E13" s="409"/>
      <c r="F13" s="409"/>
      <c r="G13" s="409"/>
      <c r="H13" s="409"/>
      <c r="I13" s="314"/>
    </row>
    <row r="14" spans="2:9" x14ac:dyDescent="0.25">
      <c r="B14" s="319"/>
      <c r="C14" s="320"/>
      <c r="D14" s="407" t="s">
        <v>29</v>
      </c>
      <c r="E14" s="407"/>
      <c r="F14" s="407"/>
      <c r="G14" s="407"/>
      <c r="H14" s="407"/>
      <c r="I14" s="314"/>
    </row>
    <row r="15" spans="2:9" x14ac:dyDescent="0.25">
      <c r="B15" s="319"/>
      <c r="C15" s="320"/>
      <c r="D15" s="323"/>
      <c r="E15" s="314"/>
      <c r="F15" s="314"/>
      <c r="G15" s="314"/>
      <c r="H15" s="314"/>
      <c r="I15" s="314"/>
    </row>
    <row r="16" spans="2:9" x14ac:dyDescent="0.25">
      <c r="B16" s="319"/>
      <c r="C16" s="397" t="s">
        <v>4207</v>
      </c>
      <c r="D16" s="397"/>
      <c r="E16" s="397"/>
      <c r="F16" s="397"/>
      <c r="G16" s="397"/>
      <c r="H16" s="397"/>
      <c r="I16" s="397"/>
    </row>
    <row r="17" spans="1:9" x14ac:dyDescent="0.25">
      <c r="B17" s="319"/>
      <c r="C17" s="320"/>
      <c r="D17" s="323"/>
      <c r="E17" s="314"/>
      <c r="F17" s="314"/>
      <c r="G17" s="314"/>
      <c r="H17" s="314"/>
      <c r="I17" s="314"/>
    </row>
    <row r="18" spans="1:9" x14ac:dyDescent="0.25">
      <c r="B18" s="398" t="s">
        <v>4147</v>
      </c>
      <c r="C18" s="396" t="s">
        <v>30</v>
      </c>
      <c r="D18" s="399" t="s">
        <v>31</v>
      </c>
      <c r="E18" s="400" t="s">
        <v>32</v>
      </c>
      <c r="F18" s="401"/>
      <c r="G18" s="401"/>
      <c r="H18" s="401"/>
      <c r="I18" s="402"/>
    </row>
    <row r="19" spans="1:9" x14ac:dyDescent="0.25">
      <c r="B19" s="398"/>
      <c r="C19" s="396"/>
      <c r="D19" s="399"/>
      <c r="E19" s="403" t="s">
        <v>4148</v>
      </c>
      <c r="F19" s="403" t="s">
        <v>33</v>
      </c>
      <c r="G19" s="403" t="s">
        <v>34</v>
      </c>
      <c r="H19" s="403" t="s">
        <v>35</v>
      </c>
      <c r="I19" s="404" t="s">
        <v>36</v>
      </c>
    </row>
    <row r="20" spans="1:9" x14ac:dyDescent="0.25">
      <c r="B20" s="398"/>
      <c r="C20" s="396"/>
      <c r="D20" s="399"/>
      <c r="E20" s="403"/>
      <c r="F20" s="403"/>
      <c r="G20" s="403"/>
      <c r="H20" s="403"/>
      <c r="I20" s="405"/>
    </row>
    <row r="21" spans="1:9" x14ac:dyDescent="0.25">
      <c r="B21" s="398"/>
      <c r="C21" s="396"/>
      <c r="D21" s="399"/>
      <c r="E21" s="403"/>
      <c r="F21" s="403"/>
      <c r="G21" s="403"/>
      <c r="H21" s="403"/>
      <c r="I21" s="406"/>
    </row>
    <row r="22" spans="1:9" x14ac:dyDescent="0.25">
      <c r="A22" s="327"/>
      <c r="B22" s="328">
        <v>1</v>
      </c>
      <c r="C22" s="328">
        <v>2</v>
      </c>
      <c r="D22" s="328">
        <v>3</v>
      </c>
      <c r="E22" s="328">
        <v>4</v>
      </c>
      <c r="F22" s="329">
        <v>5</v>
      </c>
      <c r="G22" s="329">
        <v>6</v>
      </c>
      <c r="H22" s="329">
        <v>7</v>
      </c>
      <c r="I22" s="329">
        <v>8</v>
      </c>
    </row>
    <row r="23" spans="1:9" s="312" customFormat="1" x14ac:dyDescent="0.25">
      <c r="A23" s="353"/>
      <c r="B23" s="393" t="s">
        <v>37</v>
      </c>
      <c r="C23" s="394"/>
      <c r="D23" s="394"/>
      <c r="E23" s="394"/>
      <c r="F23" s="394"/>
      <c r="G23" s="394"/>
      <c r="H23" s="394"/>
      <c r="I23" s="394"/>
    </row>
    <row r="24" spans="1:9" x14ac:dyDescent="0.25">
      <c r="A24" s="327"/>
      <c r="B24" s="330" t="s">
        <v>4149</v>
      </c>
      <c r="C24" s="330" t="s">
        <v>38</v>
      </c>
      <c r="D24" s="331" t="s">
        <v>39</v>
      </c>
      <c r="E24" s="332">
        <v>7763.81</v>
      </c>
      <c r="F24" s="332">
        <v>108.77</v>
      </c>
      <c r="G24" s="332"/>
      <c r="H24" s="332"/>
      <c r="I24" s="332">
        <f>SUM($E24:$H24)</f>
        <v>7872.5800000000008</v>
      </c>
    </row>
    <row r="25" spans="1:9" x14ac:dyDescent="0.25">
      <c r="A25" s="327"/>
      <c r="B25" s="330" t="s">
        <v>4150</v>
      </c>
      <c r="C25" s="330" t="s">
        <v>40</v>
      </c>
      <c r="D25" s="331" t="s">
        <v>41</v>
      </c>
      <c r="E25" s="332">
        <v>15558.9</v>
      </c>
      <c r="F25" s="332"/>
      <c r="G25" s="332"/>
      <c r="H25" s="332"/>
      <c r="I25" s="332">
        <f t="shared" ref="I25:I40" si="0">SUM($E25:$H25)</f>
        <v>15558.9</v>
      </c>
    </row>
    <row r="26" spans="1:9" x14ac:dyDescent="0.25">
      <c r="A26" s="327"/>
      <c r="B26" s="330" t="s">
        <v>4151</v>
      </c>
      <c r="C26" s="330" t="s">
        <v>42</v>
      </c>
      <c r="D26" s="331" t="s">
        <v>43</v>
      </c>
      <c r="E26" s="332">
        <v>6762.26</v>
      </c>
      <c r="F26" s="332"/>
      <c r="G26" s="332"/>
      <c r="H26" s="332"/>
      <c r="I26" s="332">
        <f t="shared" si="0"/>
        <v>6762.26</v>
      </c>
    </row>
    <row r="27" spans="1:9" x14ac:dyDescent="0.25">
      <c r="A27" s="327"/>
      <c r="B27" s="330" t="s">
        <v>4152</v>
      </c>
      <c r="C27" s="330" t="s">
        <v>44</v>
      </c>
      <c r="D27" s="331" t="s">
        <v>154</v>
      </c>
      <c r="E27" s="332">
        <v>8299.99</v>
      </c>
      <c r="F27" s="332"/>
      <c r="G27" s="332"/>
      <c r="H27" s="332"/>
      <c r="I27" s="332">
        <f t="shared" si="0"/>
        <v>8299.99</v>
      </c>
    </row>
    <row r="28" spans="1:9" x14ac:dyDescent="0.25">
      <c r="A28" s="327"/>
      <c r="B28" s="330" t="s">
        <v>4153</v>
      </c>
      <c r="C28" s="330" t="s">
        <v>45</v>
      </c>
      <c r="D28" s="331" t="s">
        <v>155</v>
      </c>
      <c r="E28" s="332">
        <v>19780.560000000001</v>
      </c>
      <c r="F28" s="332"/>
      <c r="G28" s="332"/>
      <c r="H28" s="332"/>
      <c r="I28" s="332">
        <f t="shared" si="0"/>
        <v>19780.560000000001</v>
      </c>
    </row>
    <row r="29" spans="1:9" x14ac:dyDescent="0.25">
      <c r="A29" s="327"/>
      <c r="B29" s="330" t="s">
        <v>4154</v>
      </c>
      <c r="C29" s="330" t="s">
        <v>46</v>
      </c>
      <c r="D29" s="331" t="s">
        <v>47</v>
      </c>
      <c r="E29" s="332">
        <v>904.39</v>
      </c>
      <c r="F29" s="332"/>
      <c r="G29" s="332">
        <v>7.66</v>
      </c>
      <c r="H29" s="332"/>
      <c r="I29" s="332">
        <f t="shared" si="0"/>
        <v>912.05</v>
      </c>
    </row>
    <row r="30" spans="1:9" x14ac:dyDescent="0.25">
      <c r="A30" s="327"/>
      <c r="B30" s="330" t="s">
        <v>4155</v>
      </c>
      <c r="C30" s="330" t="s">
        <v>48</v>
      </c>
      <c r="D30" s="331" t="s">
        <v>49</v>
      </c>
      <c r="E30" s="332">
        <v>4612.5200000000004</v>
      </c>
      <c r="F30" s="332">
        <v>43.66</v>
      </c>
      <c r="G30" s="332">
        <v>1016.64</v>
      </c>
      <c r="H30" s="332"/>
      <c r="I30" s="332">
        <f t="shared" si="0"/>
        <v>5672.8200000000006</v>
      </c>
    </row>
    <row r="31" spans="1:9" x14ac:dyDescent="0.25">
      <c r="A31" s="327"/>
      <c r="B31" s="330" t="s">
        <v>4156</v>
      </c>
      <c r="C31" s="330" t="s">
        <v>50</v>
      </c>
      <c r="D31" s="331" t="s">
        <v>69</v>
      </c>
      <c r="E31" s="332">
        <v>287.79000000000002</v>
      </c>
      <c r="F31" s="332">
        <v>1031.32</v>
      </c>
      <c r="G31" s="332">
        <v>1789.95</v>
      </c>
      <c r="H31" s="332"/>
      <c r="I31" s="332">
        <f t="shared" si="0"/>
        <v>3109.06</v>
      </c>
    </row>
    <row r="32" spans="1:9" x14ac:dyDescent="0.25">
      <c r="A32" s="327"/>
      <c r="B32" s="330" t="s">
        <v>4157</v>
      </c>
      <c r="C32" s="330" t="s">
        <v>51</v>
      </c>
      <c r="D32" s="331" t="s">
        <v>52</v>
      </c>
      <c r="E32" s="332">
        <v>5621.51</v>
      </c>
      <c r="F32" s="332">
        <v>83.66</v>
      </c>
      <c r="G32" s="332">
        <v>2134.33</v>
      </c>
      <c r="H32" s="332"/>
      <c r="I32" s="332">
        <f t="shared" si="0"/>
        <v>7839.5</v>
      </c>
    </row>
    <row r="33" spans="1:9" x14ac:dyDescent="0.25">
      <c r="A33" s="327"/>
      <c r="B33" s="330" t="s">
        <v>4158</v>
      </c>
      <c r="C33" s="330" t="s">
        <v>53</v>
      </c>
      <c r="D33" s="331" t="s">
        <v>54</v>
      </c>
      <c r="E33" s="332">
        <v>4026.79</v>
      </c>
      <c r="F33" s="332">
        <v>2021.11</v>
      </c>
      <c r="G33" s="332">
        <v>740.23</v>
      </c>
      <c r="H33" s="332"/>
      <c r="I33" s="332">
        <f t="shared" si="0"/>
        <v>6788.1299999999992</v>
      </c>
    </row>
    <row r="34" spans="1:9" x14ac:dyDescent="0.25">
      <c r="A34" s="327"/>
      <c r="B34" s="330" t="s">
        <v>4159</v>
      </c>
      <c r="C34" s="330" t="s">
        <v>55</v>
      </c>
      <c r="D34" s="331" t="s">
        <v>156</v>
      </c>
      <c r="E34" s="332">
        <v>8792.31</v>
      </c>
      <c r="F34" s="332">
        <v>226.75</v>
      </c>
      <c r="G34" s="332"/>
      <c r="H34" s="332"/>
      <c r="I34" s="332">
        <f t="shared" si="0"/>
        <v>9019.06</v>
      </c>
    </row>
    <row r="35" spans="1:9" x14ac:dyDescent="0.25">
      <c r="A35" s="327"/>
      <c r="B35" s="330" t="s">
        <v>4160</v>
      </c>
      <c r="C35" s="330" t="s">
        <v>56</v>
      </c>
      <c r="D35" s="331" t="s">
        <v>57</v>
      </c>
      <c r="E35" s="332">
        <v>65.599999999999994</v>
      </c>
      <c r="F35" s="332">
        <v>491.19</v>
      </c>
      <c r="G35" s="332">
        <v>13001.49</v>
      </c>
      <c r="H35" s="332"/>
      <c r="I35" s="332">
        <f t="shared" si="0"/>
        <v>13558.279999999999</v>
      </c>
    </row>
    <row r="36" spans="1:9" x14ac:dyDescent="0.25">
      <c r="A36" s="327"/>
      <c r="B36" s="330" t="s">
        <v>4161</v>
      </c>
      <c r="C36" s="330" t="s">
        <v>58</v>
      </c>
      <c r="D36" s="331" t="s">
        <v>59</v>
      </c>
      <c r="E36" s="332"/>
      <c r="F36" s="332">
        <v>678.42</v>
      </c>
      <c r="G36" s="332">
        <v>2242.61</v>
      </c>
      <c r="H36" s="332"/>
      <c r="I36" s="332">
        <f t="shared" si="0"/>
        <v>2921.03</v>
      </c>
    </row>
    <row r="37" spans="1:9" x14ac:dyDescent="0.25">
      <c r="A37" s="327"/>
      <c r="B37" s="330" t="s">
        <v>4162</v>
      </c>
      <c r="C37" s="330" t="s">
        <v>60</v>
      </c>
      <c r="D37" s="331" t="s">
        <v>157</v>
      </c>
      <c r="E37" s="332">
        <v>9207.56</v>
      </c>
      <c r="F37" s="332"/>
      <c r="G37" s="332"/>
      <c r="H37" s="332"/>
      <c r="I37" s="332">
        <f t="shared" si="0"/>
        <v>9207.56</v>
      </c>
    </row>
    <row r="38" spans="1:9" x14ac:dyDescent="0.25">
      <c r="A38" s="327"/>
      <c r="B38" s="330" t="s">
        <v>4163</v>
      </c>
      <c r="C38" s="330" t="s">
        <v>61</v>
      </c>
      <c r="D38" s="331" t="s">
        <v>62</v>
      </c>
      <c r="E38" s="332">
        <v>954.75</v>
      </c>
      <c r="F38" s="332">
        <v>879.21</v>
      </c>
      <c r="G38" s="332">
        <v>3391.49</v>
      </c>
      <c r="H38" s="332"/>
      <c r="I38" s="332">
        <f t="shared" si="0"/>
        <v>5225.45</v>
      </c>
    </row>
    <row r="39" spans="1:9" x14ac:dyDescent="0.25">
      <c r="A39" s="327"/>
      <c r="B39" s="330" t="s">
        <v>4164</v>
      </c>
      <c r="C39" s="330" t="s">
        <v>63</v>
      </c>
      <c r="D39" s="331" t="s">
        <v>64</v>
      </c>
      <c r="E39" s="332">
        <v>72.72</v>
      </c>
      <c r="F39" s="332">
        <v>81.62</v>
      </c>
      <c r="G39" s="332">
        <v>99</v>
      </c>
      <c r="H39" s="332"/>
      <c r="I39" s="332">
        <f t="shared" si="0"/>
        <v>253.34</v>
      </c>
    </row>
    <row r="40" spans="1:9" x14ac:dyDescent="0.25">
      <c r="A40" s="327"/>
      <c r="B40" s="330" t="s">
        <v>4165</v>
      </c>
      <c r="C40" s="330" t="s">
        <v>65</v>
      </c>
      <c r="D40" s="331" t="s">
        <v>66</v>
      </c>
      <c r="E40" s="332">
        <v>219.47</v>
      </c>
      <c r="F40" s="332">
        <v>1219.33</v>
      </c>
      <c r="G40" s="332">
        <v>561.42999999999995</v>
      </c>
      <c r="H40" s="332"/>
      <c r="I40" s="332">
        <f t="shared" si="0"/>
        <v>2000.23</v>
      </c>
    </row>
    <row r="41" spans="1:9" x14ac:dyDescent="0.25">
      <c r="A41" s="327"/>
      <c r="B41" s="330" t="s">
        <v>4166</v>
      </c>
      <c r="C41" s="330" t="s">
        <v>67</v>
      </c>
      <c r="D41" s="331" t="s">
        <v>68</v>
      </c>
      <c r="E41" s="332">
        <v>187.57</v>
      </c>
      <c r="F41" s="332">
        <v>1019.27</v>
      </c>
      <c r="G41" s="332">
        <v>856</v>
      </c>
      <c r="H41" s="332"/>
      <c r="I41" s="332">
        <f>SUM($E41:$H41)</f>
        <v>2062.84</v>
      </c>
    </row>
    <row r="42" spans="1:9" s="337" customFormat="1" ht="21" x14ac:dyDescent="0.25">
      <c r="A42" s="333"/>
      <c r="B42" s="334"/>
      <c r="C42" s="334"/>
      <c r="D42" s="335" t="s">
        <v>70</v>
      </c>
      <c r="E42" s="336">
        <f>SUM(E24:E41)</f>
        <v>93118.500000000015</v>
      </c>
      <c r="F42" s="336">
        <f t="shared" ref="F42:H42" si="1">SUM(F24:F41)</f>
        <v>7884.3099999999995</v>
      </c>
      <c r="G42" s="336">
        <f t="shared" si="1"/>
        <v>25840.83</v>
      </c>
      <c r="H42" s="336">
        <f t="shared" si="1"/>
        <v>0</v>
      </c>
      <c r="I42" s="336">
        <f>SUM(I24:I41)</f>
        <v>126843.63999999998</v>
      </c>
    </row>
    <row r="43" spans="1:9" s="312" customFormat="1" x14ac:dyDescent="0.25">
      <c r="A43" s="353"/>
      <c r="B43" s="393" t="s">
        <v>71</v>
      </c>
      <c r="C43" s="394"/>
      <c r="D43" s="394"/>
      <c r="E43" s="394"/>
      <c r="F43" s="394"/>
      <c r="G43" s="394"/>
      <c r="H43" s="394"/>
      <c r="I43" s="394"/>
    </row>
    <row r="44" spans="1:9" x14ac:dyDescent="0.25">
      <c r="A44" s="327"/>
      <c r="B44" s="330" t="s">
        <v>4167</v>
      </c>
      <c r="C44" s="330" t="s">
        <v>72</v>
      </c>
      <c r="D44" s="331" t="s">
        <v>73</v>
      </c>
      <c r="E44" s="332">
        <v>341.8</v>
      </c>
      <c r="F44" s="332">
        <v>64.22</v>
      </c>
      <c r="G44" s="332">
        <v>13529.19</v>
      </c>
      <c r="H44" s="332"/>
      <c r="I44" s="332">
        <f>SUM($E44:$H44)</f>
        <v>13935.210000000001</v>
      </c>
    </row>
    <row r="45" spans="1:9" s="337" customFormat="1" ht="21" x14ac:dyDescent="0.25">
      <c r="A45" s="333"/>
      <c r="B45" s="334"/>
      <c r="C45" s="334"/>
      <c r="D45" s="335" t="s">
        <v>74</v>
      </c>
      <c r="E45" s="336">
        <f>E44</f>
        <v>341.8</v>
      </c>
      <c r="F45" s="336">
        <f t="shared" ref="F45:I45" si="2">F44</f>
        <v>64.22</v>
      </c>
      <c r="G45" s="336">
        <f t="shared" si="2"/>
        <v>13529.19</v>
      </c>
      <c r="H45" s="336">
        <f t="shared" si="2"/>
        <v>0</v>
      </c>
      <c r="I45" s="336">
        <f t="shared" si="2"/>
        <v>13935.210000000001</v>
      </c>
    </row>
    <row r="46" spans="1:9" s="312" customFormat="1" x14ac:dyDescent="0.25">
      <c r="A46" s="353"/>
      <c r="B46" s="393" t="s">
        <v>75</v>
      </c>
      <c r="C46" s="394"/>
      <c r="D46" s="394"/>
      <c r="E46" s="394"/>
      <c r="F46" s="394"/>
      <c r="G46" s="394"/>
      <c r="H46" s="394"/>
      <c r="I46" s="394"/>
    </row>
    <row r="47" spans="1:9" x14ac:dyDescent="0.25">
      <c r="A47" s="327"/>
      <c r="B47" s="330" t="s">
        <v>4168</v>
      </c>
      <c r="C47" s="330" t="s">
        <v>76</v>
      </c>
      <c r="D47" s="331" t="s">
        <v>77</v>
      </c>
      <c r="E47" s="332">
        <v>1294.27</v>
      </c>
      <c r="F47" s="332">
        <v>847.6</v>
      </c>
      <c r="G47" s="332">
        <v>252.43</v>
      </c>
      <c r="H47" s="332"/>
      <c r="I47" s="332">
        <f>SUM($E47:$H47)</f>
        <v>2394.2999999999997</v>
      </c>
    </row>
    <row r="48" spans="1:9" s="337" customFormat="1" ht="12.75" x14ac:dyDescent="0.25">
      <c r="A48" s="333"/>
      <c r="B48" s="334"/>
      <c r="C48" s="334"/>
      <c r="D48" s="335" t="s">
        <v>78</v>
      </c>
      <c r="E48" s="336">
        <f>E47</f>
        <v>1294.27</v>
      </c>
      <c r="F48" s="336">
        <f t="shared" ref="F48:H48" si="3">F47</f>
        <v>847.6</v>
      </c>
      <c r="G48" s="336">
        <f t="shared" si="3"/>
        <v>252.43</v>
      </c>
      <c r="H48" s="336">
        <f t="shared" si="3"/>
        <v>0</v>
      </c>
      <c r="I48" s="336">
        <f>I47</f>
        <v>2394.2999999999997</v>
      </c>
    </row>
    <row r="49" spans="1:9" x14ac:dyDescent="0.25">
      <c r="A49" s="327"/>
      <c r="B49" s="395" t="s">
        <v>79</v>
      </c>
      <c r="C49" s="396"/>
      <c r="D49" s="396"/>
      <c r="E49" s="396"/>
      <c r="F49" s="396"/>
      <c r="G49" s="396"/>
      <c r="H49" s="396"/>
      <c r="I49" s="396"/>
    </row>
    <row r="50" spans="1:9" x14ac:dyDescent="0.25">
      <c r="A50" s="327"/>
      <c r="B50" s="330" t="s">
        <v>4169</v>
      </c>
      <c r="C50" s="330" t="s">
        <v>80</v>
      </c>
      <c r="D50" s="331" t="s">
        <v>81</v>
      </c>
      <c r="E50" s="332">
        <v>322.75</v>
      </c>
      <c r="F50" s="332">
        <v>19.64</v>
      </c>
      <c r="G50" s="332"/>
      <c r="H50" s="332"/>
      <c r="I50" s="332">
        <f>SUM($E50:$H50)</f>
        <v>342.39</v>
      </c>
    </row>
    <row r="51" spans="1:9" s="337" customFormat="1" ht="21" x14ac:dyDescent="0.25">
      <c r="A51" s="333"/>
      <c r="B51" s="334"/>
      <c r="C51" s="334"/>
      <c r="D51" s="335" t="s">
        <v>82</v>
      </c>
      <c r="E51" s="336">
        <f>E50</f>
        <v>322.75</v>
      </c>
      <c r="F51" s="336">
        <f t="shared" ref="F51:I51" si="4">F50</f>
        <v>19.64</v>
      </c>
      <c r="G51" s="336">
        <f t="shared" si="4"/>
        <v>0</v>
      </c>
      <c r="H51" s="336">
        <f t="shared" si="4"/>
        <v>0</v>
      </c>
      <c r="I51" s="336">
        <f t="shared" si="4"/>
        <v>342.39</v>
      </c>
    </row>
    <row r="52" spans="1:9" s="312" customFormat="1" x14ac:dyDescent="0.25">
      <c r="A52" s="353"/>
      <c r="B52" s="393" t="s">
        <v>83</v>
      </c>
      <c r="C52" s="394"/>
      <c r="D52" s="394"/>
      <c r="E52" s="394"/>
      <c r="F52" s="394"/>
      <c r="G52" s="394"/>
      <c r="H52" s="394"/>
      <c r="I52" s="394"/>
    </row>
    <row r="53" spans="1:9" x14ac:dyDescent="0.25">
      <c r="A53" s="327"/>
      <c r="B53" s="330" t="s">
        <v>4170</v>
      </c>
      <c r="C53" s="330" t="s">
        <v>84</v>
      </c>
      <c r="D53" s="331" t="s">
        <v>89</v>
      </c>
      <c r="E53" s="332">
        <v>403.54</v>
      </c>
      <c r="F53" s="332">
        <v>45.23</v>
      </c>
      <c r="G53" s="332">
        <v>983.74</v>
      </c>
      <c r="H53" s="332"/>
      <c r="I53" s="332">
        <f>SUM($E53:$H53)</f>
        <v>1432.51</v>
      </c>
    </row>
    <row r="54" spans="1:9" x14ac:dyDescent="0.25">
      <c r="A54" s="327"/>
      <c r="B54" s="330" t="s">
        <v>4171</v>
      </c>
      <c r="C54" s="330" t="s">
        <v>86</v>
      </c>
      <c r="D54" s="331" t="s">
        <v>87</v>
      </c>
      <c r="E54" s="332">
        <v>1831.46</v>
      </c>
      <c r="F54" s="332"/>
      <c r="G54" s="332"/>
      <c r="H54" s="332"/>
      <c r="I54" s="332">
        <f t="shared" ref="I54:I59" si="5">SUM($E54:$H54)</f>
        <v>1831.46</v>
      </c>
    </row>
    <row r="55" spans="1:9" x14ac:dyDescent="0.25">
      <c r="A55" s="327"/>
      <c r="B55" s="330" t="s">
        <v>4172</v>
      </c>
      <c r="C55" s="330" t="s">
        <v>88</v>
      </c>
      <c r="D55" s="331" t="s">
        <v>85</v>
      </c>
      <c r="E55" s="332">
        <v>4221.45</v>
      </c>
      <c r="F55" s="332">
        <v>2.96</v>
      </c>
      <c r="G55" s="332">
        <v>21.85</v>
      </c>
      <c r="H55" s="332"/>
      <c r="I55" s="332">
        <f t="shared" si="5"/>
        <v>4246.26</v>
      </c>
    </row>
    <row r="56" spans="1:9" x14ac:dyDescent="0.25">
      <c r="A56" s="327"/>
      <c r="B56" s="330" t="s">
        <v>4173</v>
      </c>
      <c r="C56" s="330" t="s">
        <v>90</v>
      </c>
      <c r="D56" s="331" t="s">
        <v>91</v>
      </c>
      <c r="E56" s="332">
        <v>1188.73</v>
      </c>
      <c r="F56" s="332">
        <v>420.46</v>
      </c>
      <c r="G56" s="332">
        <v>3991.49</v>
      </c>
      <c r="H56" s="332"/>
      <c r="I56" s="332">
        <f t="shared" si="5"/>
        <v>5600.68</v>
      </c>
    </row>
    <row r="57" spans="1:9" x14ac:dyDescent="0.25">
      <c r="A57" s="327"/>
      <c r="B57" s="330" t="s">
        <v>4174</v>
      </c>
      <c r="C57" s="330" t="s">
        <v>92</v>
      </c>
      <c r="D57" s="331" t="s">
        <v>93</v>
      </c>
      <c r="E57" s="332">
        <v>551.04999999999995</v>
      </c>
      <c r="F57" s="332">
        <v>125.59</v>
      </c>
      <c r="G57" s="332">
        <v>5665.48</v>
      </c>
      <c r="H57" s="332"/>
      <c r="I57" s="332">
        <f t="shared" si="5"/>
        <v>6342.12</v>
      </c>
    </row>
    <row r="58" spans="1:9" x14ac:dyDescent="0.25">
      <c r="A58" s="327"/>
      <c r="B58" s="330" t="s">
        <v>4175</v>
      </c>
      <c r="C58" s="330" t="s">
        <v>94</v>
      </c>
      <c r="D58" s="331" t="s">
        <v>95</v>
      </c>
      <c r="E58" s="332">
        <v>2666.22</v>
      </c>
      <c r="F58" s="332">
        <v>442.52</v>
      </c>
      <c r="G58" s="332">
        <v>6468.78</v>
      </c>
      <c r="H58" s="332"/>
      <c r="I58" s="332">
        <f t="shared" si="5"/>
        <v>9577.52</v>
      </c>
    </row>
    <row r="59" spans="1:9" x14ac:dyDescent="0.25">
      <c r="A59" s="327"/>
      <c r="B59" s="330" t="s">
        <v>4176</v>
      </c>
      <c r="C59" s="330" t="s">
        <v>96</v>
      </c>
      <c r="D59" s="331" t="s">
        <v>97</v>
      </c>
      <c r="E59" s="332">
        <v>986.39</v>
      </c>
      <c r="F59" s="332"/>
      <c r="G59" s="332"/>
      <c r="H59" s="332"/>
      <c r="I59" s="332">
        <f t="shared" si="5"/>
        <v>986.39</v>
      </c>
    </row>
    <row r="60" spans="1:9" s="337" customFormat="1" ht="31.5" x14ac:dyDescent="0.25">
      <c r="A60" s="333"/>
      <c r="B60" s="334"/>
      <c r="C60" s="334"/>
      <c r="D60" s="335" t="s">
        <v>98</v>
      </c>
      <c r="E60" s="336">
        <f>SUM(E53:E59)</f>
        <v>11848.839999999998</v>
      </c>
      <c r="F60" s="336">
        <f t="shared" ref="F60:H60" si="6">SUM(F53:F59)</f>
        <v>1036.76</v>
      </c>
      <c r="G60" s="336">
        <f>SUM(G53:G59)</f>
        <v>17131.34</v>
      </c>
      <c r="H60" s="336">
        <f t="shared" si="6"/>
        <v>0</v>
      </c>
      <c r="I60" s="336">
        <f>SUM(I53:I59)</f>
        <v>30016.94</v>
      </c>
    </row>
    <row r="61" spans="1:9" s="312" customFormat="1" x14ac:dyDescent="0.25">
      <c r="A61" s="353"/>
      <c r="B61" s="393" t="s">
        <v>99</v>
      </c>
      <c r="C61" s="394"/>
      <c r="D61" s="394"/>
      <c r="E61" s="394"/>
      <c r="F61" s="394"/>
      <c r="G61" s="394"/>
      <c r="H61" s="394"/>
      <c r="I61" s="394"/>
    </row>
    <row r="62" spans="1:9" x14ac:dyDescent="0.25">
      <c r="A62" s="327"/>
      <c r="B62" s="330" t="s">
        <v>4177</v>
      </c>
      <c r="C62" s="330" t="s">
        <v>100</v>
      </c>
      <c r="D62" s="331" t="s">
        <v>101</v>
      </c>
      <c r="E62" s="332">
        <v>20379.310000000001</v>
      </c>
      <c r="F62" s="332"/>
      <c r="G62" s="332"/>
      <c r="H62" s="332"/>
      <c r="I62" s="332">
        <f t="shared" ref="I62:I65" si="7">SUM($E62:$H62)</f>
        <v>20379.310000000001</v>
      </c>
    </row>
    <row r="63" spans="1:9" x14ac:dyDescent="0.25">
      <c r="A63" s="327"/>
      <c r="B63" s="330" t="s">
        <v>4178</v>
      </c>
      <c r="C63" s="330" t="s">
        <v>102</v>
      </c>
      <c r="D63" s="331" t="s">
        <v>103</v>
      </c>
      <c r="E63" s="332">
        <v>2661.04</v>
      </c>
      <c r="F63" s="332"/>
      <c r="G63" s="332"/>
      <c r="H63" s="332"/>
      <c r="I63" s="332">
        <f t="shared" si="7"/>
        <v>2661.04</v>
      </c>
    </row>
    <row r="64" spans="1:9" x14ac:dyDescent="0.25">
      <c r="A64" s="327"/>
      <c r="B64" s="330" t="s">
        <v>4179</v>
      </c>
      <c r="C64" s="330" t="s">
        <v>104</v>
      </c>
      <c r="D64" s="331" t="s">
        <v>105</v>
      </c>
      <c r="E64" s="332">
        <v>2255.1999999999998</v>
      </c>
      <c r="F64" s="332"/>
      <c r="G64" s="332"/>
      <c r="H64" s="332"/>
      <c r="I64" s="332">
        <f t="shared" si="7"/>
        <v>2255.1999999999998</v>
      </c>
    </row>
    <row r="65" spans="1:9" x14ac:dyDescent="0.25">
      <c r="A65" s="327"/>
      <c r="B65" s="330" t="s">
        <v>4180</v>
      </c>
      <c r="C65" s="330" t="s">
        <v>106</v>
      </c>
      <c r="D65" s="331" t="s">
        <v>107</v>
      </c>
      <c r="E65" s="332">
        <v>4772.72</v>
      </c>
      <c r="F65" s="332"/>
      <c r="G65" s="332"/>
      <c r="H65" s="332"/>
      <c r="I65" s="332">
        <f t="shared" si="7"/>
        <v>4772.72</v>
      </c>
    </row>
    <row r="66" spans="1:9" s="337" customFormat="1" ht="21" x14ac:dyDescent="0.25">
      <c r="A66" s="333"/>
      <c r="B66" s="334"/>
      <c r="C66" s="334"/>
      <c r="D66" s="335" t="s">
        <v>108</v>
      </c>
      <c r="E66" s="336">
        <f>SUM(E62:E65)</f>
        <v>30068.270000000004</v>
      </c>
      <c r="F66" s="336">
        <f t="shared" ref="F66:H66" si="8">SUM(F62:F65)</f>
        <v>0</v>
      </c>
      <c r="G66" s="336">
        <f t="shared" si="8"/>
        <v>0</v>
      </c>
      <c r="H66" s="336">
        <f t="shared" si="8"/>
        <v>0</v>
      </c>
      <c r="I66" s="336">
        <f>SUM(I62:I65)</f>
        <v>30068.270000000004</v>
      </c>
    </row>
    <row r="67" spans="1:9" s="337" customFormat="1" ht="12.75" x14ac:dyDescent="0.25">
      <c r="A67" s="333"/>
      <c r="B67" s="334"/>
      <c r="C67" s="334"/>
      <c r="D67" s="335" t="s">
        <v>109</v>
      </c>
      <c r="E67" s="336">
        <f>E42+E45+E48+E51+E60+E66</f>
        <v>136994.43000000002</v>
      </c>
      <c r="F67" s="336">
        <f t="shared" ref="F67:H67" si="9">F42+F45+F48+F51+F60+F66</f>
        <v>9852.5299999999988</v>
      </c>
      <c r="G67" s="336">
        <f t="shared" si="9"/>
        <v>56753.790000000008</v>
      </c>
      <c r="H67" s="336">
        <f t="shared" si="9"/>
        <v>0</v>
      </c>
      <c r="I67" s="336">
        <f>I42+I45+I48+I51+I60+I66</f>
        <v>203600.75</v>
      </c>
    </row>
    <row r="68" spans="1:9" s="312" customFormat="1" x14ac:dyDescent="0.25">
      <c r="A68" s="353"/>
      <c r="B68" s="393" t="s">
        <v>110</v>
      </c>
      <c r="C68" s="394"/>
      <c r="D68" s="394"/>
      <c r="E68" s="394"/>
      <c r="F68" s="394"/>
      <c r="G68" s="394"/>
      <c r="H68" s="394"/>
      <c r="I68" s="394"/>
    </row>
    <row r="69" spans="1:9" ht="67.5" x14ac:dyDescent="0.25">
      <c r="A69" s="327"/>
      <c r="B69" s="330" t="s">
        <v>4181</v>
      </c>
      <c r="C69" s="330" t="s">
        <v>4182</v>
      </c>
      <c r="D69" s="331" t="s">
        <v>158</v>
      </c>
      <c r="E69" s="332" t="s">
        <v>4183</v>
      </c>
      <c r="F69" s="332" t="s">
        <v>4184</v>
      </c>
      <c r="G69" s="332"/>
      <c r="H69" s="332"/>
      <c r="I69" s="332">
        <v>2643.25</v>
      </c>
    </row>
    <row r="70" spans="1:9" s="337" customFormat="1" ht="12.75" x14ac:dyDescent="0.25">
      <c r="A70" s="333"/>
      <c r="B70" s="334"/>
      <c r="C70" s="334"/>
      <c r="D70" s="335" t="s">
        <v>111</v>
      </c>
      <c r="E70" s="338">
        <f>ROUND(E67*1.8%,5)</f>
        <v>2465.8997399999998</v>
      </c>
      <c r="F70" s="338">
        <f>ROUND(F67*1.8%,5)</f>
        <v>177.34554</v>
      </c>
      <c r="G70" s="336"/>
      <c r="H70" s="336"/>
      <c r="I70" s="338">
        <f>SUM($E70:$H70)</f>
        <v>2643.2452799999996</v>
      </c>
    </row>
    <row r="71" spans="1:9" s="337" customFormat="1" ht="12.75" x14ac:dyDescent="0.25">
      <c r="A71" s="333"/>
      <c r="B71" s="334"/>
      <c r="C71" s="334"/>
      <c r="D71" s="335" t="s">
        <v>112</v>
      </c>
      <c r="E71" s="338">
        <f>E67+E70</f>
        <v>139460.32974000002</v>
      </c>
      <c r="F71" s="338">
        <f t="shared" ref="F71:H71" si="10">F67+F70</f>
        <v>10029.875539999999</v>
      </c>
      <c r="G71" s="338">
        <f>G67+G70</f>
        <v>56753.790000000008</v>
      </c>
      <c r="H71" s="338">
        <f t="shared" si="10"/>
        <v>0</v>
      </c>
      <c r="I71" s="338">
        <f>I67+I70</f>
        <v>206243.99528</v>
      </c>
    </row>
    <row r="72" spans="1:9" s="312" customFormat="1" x14ac:dyDescent="0.25">
      <c r="A72" s="353"/>
      <c r="B72" s="393" t="s">
        <v>113</v>
      </c>
      <c r="C72" s="394"/>
      <c r="D72" s="394"/>
      <c r="E72" s="394"/>
      <c r="F72" s="394"/>
      <c r="G72" s="394"/>
      <c r="H72" s="394"/>
      <c r="I72" s="394"/>
    </row>
    <row r="73" spans="1:9" x14ac:dyDescent="0.25">
      <c r="A73" s="327"/>
      <c r="B73" s="330" t="s">
        <v>4185</v>
      </c>
      <c r="C73" s="330" t="s">
        <v>114</v>
      </c>
      <c r="D73" s="331" t="s">
        <v>159</v>
      </c>
      <c r="E73" s="332"/>
      <c r="F73" s="332"/>
      <c r="G73" s="332"/>
      <c r="H73" s="332">
        <v>92.75</v>
      </c>
      <c r="I73" s="332">
        <f t="shared" ref="I73:I78" si="11">SUM($E73:$H73)</f>
        <v>92.75</v>
      </c>
    </row>
    <row r="74" spans="1:9" x14ac:dyDescent="0.25">
      <c r="A74" s="327"/>
      <c r="B74" s="330" t="s">
        <v>4186</v>
      </c>
      <c r="C74" s="330" t="s">
        <v>115</v>
      </c>
      <c r="D74" s="331" t="s">
        <v>117</v>
      </c>
      <c r="E74" s="332"/>
      <c r="F74" s="332"/>
      <c r="G74" s="332"/>
      <c r="H74" s="332">
        <v>11.62</v>
      </c>
      <c r="I74" s="332">
        <f t="shared" si="11"/>
        <v>11.62</v>
      </c>
    </row>
    <row r="75" spans="1:9" x14ac:dyDescent="0.25">
      <c r="A75" s="327"/>
      <c r="B75" s="330" t="s">
        <v>4187</v>
      </c>
      <c r="C75" s="330" t="s">
        <v>116</v>
      </c>
      <c r="D75" s="331" t="s">
        <v>121</v>
      </c>
      <c r="E75" s="332"/>
      <c r="F75" s="332"/>
      <c r="G75" s="332"/>
      <c r="H75" s="332">
        <v>343.99</v>
      </c>
      <c r="I75" s="332">
        <f t="shared" si="11"/>
        <v>343.99</v>
      </c>
    </row>
    <row r="76" spans="1:9" x14ac:dyDescent="0.25">
      <c r="A76" s="327"/>
      <c r="B76" s="330" t="s">
        <v>4188</v>
      </c>
      <c r="C76" s="330" t="s">
        <v>118</v>
      </c>
      <c r="D76" s="331" t="s">
        <v>119</v>
      </c>
      <c r="E76" s="332"/>
      <c r="F76" s="332"/>
      <c r="G76" s="332"/>
      <c r="H76" s="332">
        <v>315.27</v>
      </c>
      <c r="I76" s="332">
        <f t="shared" si="11"/>
        <v>315.27</v>
      </c>
    </row>
    <row r="77" spans="1:9" x14ac:dyDescent="0.25">
      <c r="A77" s="327"/>
      <c r="B77" s="330" t="s">
        <v>4189</v>
      </c>
      <c r="C77" s="330" t="s">
        <v>120</v>
      </c>
      <c r="D77" s="331" t="s">
        <v>160</v>
      </c>
      <c r="E77" s="332"/>
      <c r="F77" s="332"/>
      <c r="G77" s="332"/>
      <c r="H77" s="332">
        <v>73.87</v>
      </c>
      <c r="I77" s="332">
        <f t="shared" si="11"/>
        <v>73.87</v>
      </c>
    </row>
    <row r="78" spans="1:9" x14ac:dyDescent="0.25">
      <c r="A78" s="327"/>
      <c r="B78" s="330" t="s">
        <v>4190</v>
      </c>
      <c r="C78" s="330" t="s">
        <v>161</v>
      </c>
      <c r="D78" s="331" t="s">
        <v>162</v>
      </c>
      <c r="E78" s="332"/>
      <c r="F78" s="332"/>
      <c r="G78" s="332"/>
      <c r="H78" s="332">
        <v>462.04</v>
      </c>
      <c r="I78" s="332">
        <f t="shared" si="11"/>
        <v>462.04</v>
      </c>
    </row>
    <row r="79" spans="1:9" ht="45" x14ac:dyDescent="0.25">
      <c r="A79" s="327"/>
      <c r="B79" s="330" t="s">
        <v>4191</v>
      </c>
      <c r="C79" s="330" t="s">
        <v>3175</v>
      </c>
      <c r="D79" s="331" t="s">
        <v>3176</v>
      </c>
      <c r="E79" s="332"/>
      <c r="F79" s="332"/>
      <c r="G79" s="332"/>
      <c r="H79" s="332">
        <v>17.96</v>
      </c>
      <c r="I79" s="332">
        <f>SUM($E79:$H79)</f>
        <v>17.96</v>
      </c>
    </row>
    <row r="80" spans="1:9" s="337" customFormat="1" ht="12.75" x14ac:dyDescent="0.25">
      <c r="A80" s="333"/>
      <c r="B80" s="334"/>
      <c r="C80" s="334"/>
      <c r="D80" s="335" t="s">
        <v>122</v>
      </c>
      <c r="E80" s="336"/>
      <c r="F80" s="336"/>
      <c r="G80" s="336"/>
      <c r="H80" s="336">
        <f>SUM(H73:H79)</f>
        <v>1317.5</v>
      </c>
      <c r="I80" s="336">
        <f>SUM($E80:$H80)</f>
        <v>1317.5</v>
      </c>
    </row>
    <row r="81" spans="1:9" s="337" customFormat="1" ht="12.75" x14ac:dyDescent="0.25">
      <c r="A81" s="333"/>
      <c r="B81" s="334"/>
      <c r="C81" s="334"/>
      <c r="D81" s="335" t="s">
        <v>123</v>
      </c>
      <c r="E81" s="338">
        <f>E71+E80</f>
        <v>139460.32974000002</v>
      </c>
      <c r="F81" s="338">
        <f t="shared" ref="F81:H81" si="12">F71+F80</f>
        <v>10029.875539999999</v>
      </c>
      <c r="G81" s="338">
        <f t="shared" si="12"/>
        <v>56753.790000000008</v>
      </c>
      <c r="H81" s="338">
        <f t="shared" si="12"/>
        <v>1317.5</v>
      </c>
      <c r="I81" s="338">
        <f>I71+I80</f>
        <v>207561.49528</v>
      </c>
    </row>
    <row r="82" spans="1:9" ht="53.25" customHeight="1" x14ac:dyDescent="0.25">
      <c r="A82" s="327"/>
      <c r="B82" s="393" t="s">
        <v>163</v>
      </c>
      <c r="C82" s="394"/>
      <c r="D82" s="394"/>
      <c r="E82" s="394"/>
      <c r="F82" s="394"/>
      <c r="G82" s="394"/>
      <c r="H82" s="394"/>
      <c r="I82" s="394"/>
    </row>
    <row r="83" spans="1:9" s="337" customFormat="1" ht="12.75" x14ac:dyDescent="0.25">
      <c r="A83" s="333"/>
      <c r="B83" s="334"/>
      <c r="C83" s="334"/>
      <c r="D83" s="335" t="s">
        <v>124</v>
      </c>
      <c r="E83" s="338">
        <f>E81</f>
        <v>139460.32974000002</v>
      </c>
      <c r="F83" s="338">
        <f t="shared" ref="F83:I83" si="13">F81</f>
        <v>10029.875539999999</v>
      </c>
      <c r="G83" s="338">
        <f t="shared" si="13"/>
        <v>56753.790000000008</v>
      </c>
      <c r="H83" s="338">
        <f t="shared" si="13"/>
        <v>1317.5</v>
      </c>
      <c r="I83" s="338">
        <f t="shared" si="13"/>
        <v>207561.49528</v>
      </c>
    </row>
    <row r="84" spans="1:9" x14ac:dyDescent="0.25">
      <c r="A84" s="327"/>
      <c r="B84" s="395" t="s">
        <v>125</v>
      </c>
      <c r="C84" s="396"/>
      <c r="D84" s="396"/>
      <c r="E84" s="396"/>
      <c r="F84" s="396"/>
      <c r="G84" s="396"/>
      <c r="H84" s="396"/>
      <c r="I84" s="396"/>
    </row>
    <row r="85" spans="1:9" ht="67.5" x14ac:dyDescent="0.25">
      <c r="A85" s="327"/>
      <c r="B85" s="330" t="s">
        <v>4192</v>
      </c>
      <c r="C85" s="330" t="s">
        <v>4193</v>
      </c>
      <c r="D85" s="331" t="s">
        <v>175</v>
      </c>
      <c r="E85" s="332" t="s">
        <v>4194</v>
      </c>
      <c r="F85" s="332" t="s">
        <v>4195</v>
      </c>
      <c r="G85" s="332" t="s">
        <v>4196</v>
      </c>
      <c r="H85" s="332" t="s">
        <v>4197</v>
      </c>
      <c r="I85" s="332" t="s">
        <v>4198</v>
      </c>
    </row>
    <row r="86" spans="1:9" s="337" customFormat="1" ht="12.75" x14ac:dyDescent="0.25">
      <c r="A86" s="333"/>
      <c r="B86" s="334"/>
      <c r="C86" s="334"/>
      <c r="D86" s="335" t="s">
        <v>126</v>
      </c>
      <c r="E86" s="338">
        <f>ROUND(E83*1%,5)</f>
        <v>1394.6033</v>
      </c>
      <c r="F86" s="338">
        <f t="shared" ref="F86:H86" si="14">ROUND(F83*1%,5)</f>
        <v>100.29876</v>
      </c>
      <c r="G86" s="338">
        <f t="shared" si="14"/>
        <v>567.53790000000004</v>
      </c>
      <c r="H86" s="338">
        <f t="shared" si="14"/>
        <v>13.175000000000001</v>
      </c>
      <c r="I86" s="338">
        <f>SUM($E86:$H86)</f>
        <v>2075.6149599999999</v>
      </c>
    </row>
    <row r="87" spans="1:9" s="337" customFormat="1" ht="12.75" x14ac:dyDescent="0.25">
      <c r="A87" s="333"/>
      <c r="B87" s="334"/>
      <c r="C87" s="334"/>
      <c r="D87" s="335" t="s">
        <v>127</v>
      </c>
      <c r="E87" s="338">
        <f>E83+E86</f>
        <v>140854.93304</v>
      </c>
      <c r="F87" s="338">
        <f t="shared" ref="F87:H87" si="15">F83+F86</f>
        <v>10130.174299999999</v>
      </c>
      <c r="G87" s="338">
        <f t="shared" si="15"/>
        <v>57321.327900000011</v>
      </c>
      <c r="H87" s="338">
        <f t="shared" si="15"/>
        <v>1330.675</v>
      </c>
      <c r="I87" s="338">
        <f>I83+I86</f>
        <v>209637.11024000001</v>
      </c>
    </row>
    <row r="88" spans="1:9" x14ac:dyDescent="0.25">
      <c r="A88" s="327"/>
      <c r="B88" s="395" t="s">
        <v>128</v>
      </c>
      <c r="C88" s="396"/>
      <c r="D88" s="396"/>
      <c r="E88" s="396"/>
      <c r="F88" s="396"/>
      <c r="G88" s="396"/>
      <c r="H88" s="396"/>
      <c r="I88" s="396"/>
    </row>
    <row r="89" spans="1:9" ht="33.75" x14ac:dyDescent="0.25">
      <c r="A89" s="327"/>
      <c r="B89" s="330" t="s">
        <v>4199</v>
      </c>
      <c r="C89" s="330" t="s">
        <v>4200</v>
      </c>
      <c r="D89" s="331" t="s">
        <v>129</v>
      </c>
      <c r="E89" s="332" t="s">
        <v>4201</v>
      </c>
      <c r="F89" s="332" t="s">
        <v>4202</v>
      </c>
      <c r="G89" s="332" t="s">
        <v>4203</v>
      </c>
      <c r="H89" s="332" t="s">
        <v>4204</v>
      </c>
      <c r="I89" s="332">
        <v>41927.440000000002</v>
      </c>
    </row>
    <row r="90" spans="1:9" s="337" customFormat="1" ht="12.75" x14ac:dyDescent="0.25">
      <c r="A90" s="333"/>
      <c r="B90" s="334"/>
      <c r="C90" s="334"/>
      <c r="D90" s="335" t="s">
        <v>130</v>
      </c>
      <c r="E90" s="338">
        <f>ROUND(E87*20%,5)</f>
        <v>28170.98661</v>
      </c>
      <c r="F90" s="338">
        <f>ROUND(F87*20%,5)</f>
        <v>2026.03486</v>
      </c>
      <c r="G90" s="338">
        <f>ROUND(G87*20%,5)</f>
        <v>11464.265579999999</v>
      </c>
      <c r="H90" s="338">
        <f>ROUND(H87*20%,5)</f>
        <v>266.13499999999999</v>
      </c>
      <c r="I90" s="338">
        <f>SUM($E90:$H90)</f>
        <v>41927.422050000001</v>
      </c>
    </row>
    <row r="91" spans="1:9" s="337" customFormat="1" ht="12.75" x14ac:dyDescent="0.25">
      <c r="A91" s="333"/>
      <c r="B91" s="334"/>
      <c r="C91" s="334"/>
      <c r="D91" s="335" t="s">
        <v>131</v>
      </c>
      <c r="E91" s="338">
        <f>E87+E90</f>
        <v>169025.91965</v>
      </c>
      <c r="F91" s="338">
        <f t="shared" ref="F91:H91" si="16">F87+F90</f>
        <v>12156.209159999999</v>
      </c>
      <c r="G91" s="338">
        <f t="shared" si="16"/>
        <v>68785.59348000001</v>
      </c>
      <c r="H91" s="338">
        <f t="shared" si="16"/>
        <v>1596.81</v>
      </c>
      <c r="I91" s="338">
        <f>SUM($E91:$H91)</f>
        <v>251564.53229</v>
      </c>
    </row>
    <row r="92" spans="1:9" x14ac:dyDescent="0.25">
      <c r="B92" s="339"/>
      <c r="C92" s="339"/>
      <c r="D92" s="340"/>
      <c r="E92" s="341"/>
      <c r="F92" s="341"/>
      <c r="G92" s="341"/>
      <c r="H92" s="341"/>
      <c r="I92" s="341"/>
    </row>
    <row r="93" spans="1:9" x14ac:dyDescent="0.25">
      <c r="B93" s="342"/>
      <c r="C93" s="342"/>
      <c r="D93" s="343"/>
      <c r="E93" s="344"/>
      <c r="F93" s="344"/>
      <c r="G93" s="344"/>
      <c r="H93" s="344"/>
      <c r="I93" s="344"/>
    </row>
    <row r="94" spans="1:9" x14ac:dyDescent="0.25">
      <c r="B94" s="345"/>
      <c r="C94" s="345"/>
      <c r="D94" s="321"/>
      <c r="E94" s="346"/>
      <c r="F94" s="346"/>
      <c r="G94" s="346"/>
      <c r="H94" s="346"/>
      <c r="I94" s="346"/>
    </row>
    <row r="95" spans="1:9" x14ac:dyDescent="0.25">
      <c r="B95" s="323" t="s">
        <v>176</v>
      </c>
      <c r="C95" s="345"/>
      <c r="D95" s="347"/>
      <c r="E95" s="346"/>
      <c r="F95" s="348"/>
      <c r="G95" s="349"/>
      <c r="H95" s="349"/>
      <c r="I95" s="348"/>
    </row>
    <row r="96" spans="1:9" x14ac:dyDescent="0.25">
      <c r="B96" s="345"/>
      <c r="C96" s="345"/>
      <c r="D96" s="350"/>
      <c r="E96" s="351" t="s">
        <v>177</v>
      </c>
      <c r="F96" s="351"/>
      <c r="G96" s="351"/>
      <c r="H96" s="351"/>
      <c r="I96" s="351"/>
    </row>
    <row r="97" spans="2:9" x14ac:dyDescent="0.25">
      <c r="B97" s="323" t="s">
        <v>168</v>
      </c>
      <c r="C97" s="345"/>
      <c r="D97" s="352"/>
      <c r="E97" s="346"/>
      <c r="F97" s="349"/>
      <c r="G97" s="349"/>
      <c r="H97" s="346"/>
      <c r="I97" s="348"/>
    </row>
    <row r="98" spans="2:9" x14ac:dyDescent="0.25">
      <c r="B98" s="345"/>
      <c r="C98" s="345"/>
      <c r="D98" s="350"/>
      <c r="E98" s="351" t="s">
        <v>177</v>
      </c>
      <c r="F98" s="351"/>
      <c r="G98" s="351"/>
      <c r="H98" s="351"/>
      <c r="I98" s="351"/>
    </row>
    <row r="99" spans="2:9" x14ac:dyDescent="0.25">
      <c r="B99" s="323" t="s">
        <v>4205</v>
      </c>
      <c r="C99" s="345"/>
      <c r="D99" s="352" t="s">
        <v>169</v>
      </c>
      <c r="E99" s="314"/>
      <c r="F99" s="349"/>
      <c r="G99" s="349"/>
      <c r="H99" s="346"/>
      <c r="I99" s="348"/>
    </row>
    <row r="100" spans="2:9" x14ac:dyDescent="0.25">
      <c r="B100" s="345"/>
      <c r="C100" s="345"/>
      <c r="D100" s="350" t="s">
        <v>4206</v>
      </c>
      <c r="E100" s="351" t="s">
        <v>177</v>
      </c>
      <c r="F100" s="351"/>
      <c r="G100" s="351"/>
      <c r="H100" s="351"/>
      <c r="I100" s="351"/>
    </row>
    <row r="101" spans="2:9" x14ac:dyDescent="0.25">
      <c r="B101" s="323" t="s">
        <v>24</v>
      </c>
      <c r="C101" s="345"/>
      <c r="D101" s="352"/>
      <c r="E101" s="349"/>
      <c r="F101" s="348"/>
      <c r="G101" s="349"/>
      <c r="H101" s="349"/>
      <c r="I101" s="348"/>
    </row>
    <row r="102" spans="2:9" x14ac:dyDescent="0.25">
      <c r="B102" s="345"/>
      <c r="C102" s="345"/>
      <c r="D102" s="392" t="s">
        <v>132</v>
      </c>
      <c r="E102" s="392"/>
      <c r="F102" s="392"/>
      <c r="G102" s="392"/>
      <c r="H102" s="351"/>
      <c r="I102" s="351"/>
    </row>
    <row r="103" spans="2:9" x14ac:dyDescent="0.25">
      <c r="B103" s="345"/>
      <c r="C103" s="345"/>
      <c r="D103" s="321"/>
      <c r="E103" s="346"/>
      <c r="F103" s="346"/>
      <c r="G103" s="346"/>
      <c r="H103" s="346"/>
      <c r="I103" s="346"/>
    </row>
  </sheetData>
  <mergeCells count="28">
    <mergeCell ref="D14:H14"/>
    <mergeCell ref="D3:H3"/>
    <mergeCell ref="D4:H4"/>
    <mergeCell ref="D8:H8"/>
    <mergeCell ref="D9:H9"/>
    <mergeCell ref="D13:H13"/>
    <mergeCell ref="C16:I16"/>
    <mergeCell ref="B18:B21"/>
    <mergeCell ref="C18:C21"/>
    <mergeCell ref="D18:D21"/>
    <mergeCell ref="E18:I18"/>
    <mergeCell ref="E19:E21"/>
    <mergeCell ref="F19:F21"/>
    <mergeCell ref="G19:G21"/>
    <mergeCell ref="H19:H21"/>
    <mergeCell ref="I19:I21"/>
    <mergeCell ref="D102:G102"/>
    <mergeCell ref="B23:I23"/>
    <mergeCell ref="B43:I43"/>
    <mergeCell ref="B46:I46"/>
    <mergeCell ref="B49:I49"/>
    <mergeCell ref="B52:I52"/>
    <mergeCell ref="B61:I61"/>
    <mergeCell ref="B68:I68"/>
    <mergeCell ref="B72:I72"/>
    <mergeCell ref="B82:I82"/>
    <mergeCell ref="B84:I84"/>
    <mergeCell ref="B88:I8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F1B39-D3FC-4798-8B59-6DA0BC43F193}">
  <dimension ref="A1:J51"/>
  <sheetViews>
    <sheetView topLeftCell="A16" zoomScale="75" zoomScaleNormal="75" workbookViewId="0">
      <selection activeCell="B22" sqref="B22:F33"/>
    </sheetView>
  </sheetViews>
  <sheetFormatPr defaultRowHeight="15.75" x14ac:dyDescent="0.25"/>
  <cols>
    <col min="1" max="1" width="40" style="45" customWidth="1"/>
    <col min="2" max="4" width="18.28515625" style="45" customWidth="1"/>
    <col min="5" max="5" width="21.28515625" style="45" customWidth="1"/>
    <col min="6" max="6" width="21" style="45" customWidth="1"/>
    <col min="7" max="7" width="18.85546875" style="37" hidden="1" customWidth="1"/>
    <col min="8" max="8" width="17.85546875" style="46" customWidth="1"/>
    <col min="9" max="9" width="19.140625" style="45" customWidth="1"/>
    <col min="10" max="16384" width="9.140625" style="45"/>
  </cols>
  <sheetData>
    <row r="1" spans="1:10" x14ac:dyDescent="0.25">
      <c r="F1" s="45" t="s">
        <v>143</v>
      </c>
    </row>
    <row r="2" spans="1:10" x14ac:dyDescent="0.25">
      <c r="F2" s="25" t="s">
        <v>144</v>
      </c>
    </row>
    <row r="3" spans="1:10" x14ac:dyDescent="0.25">
      <c r="F3" s="25" t="s">
        <v>145</v>
      </c>
    </row>
    <row r="4" spans="1:10" x14ac:dyDescent="0.25">
      <c r="F4" s="25"/>
    </row>
    <row r="5" spans="1:10" x14ac:dyDescent="0.25">
      <c r="F5" s="25" t="s">
        <v>4121</v>
      </c>
    </row>
    <row r="6" spans="1:10" x14ac:dyDescent="0.25">
      <c r="F6" s="25" t="s">
        <v>181</v>
      </c>
    </row>
    <row r="9" spans="1:10" x14ac:dyDescent="0.25">
      <c r="A9" s="412" t="s">
        <v>133</v>
      </c>
      <c r="B9" s="412"/>
      <c r="C9" s="412"/>
      <c r="D9" s="412"/>
      <c r="E9" s="412"/>
      <c r="F9" s="412"/>
      <c r="G9" s="38"/>
      <c r="H9" s="47"/>
      <c r="I9" s="2"/>
      <c r="J9" s="2"/>
    </row>
    <row r="10" spans="1:10" x14ac:dyDescent="0.25">
      <c r="A10" s="412" t="s">
        <v>146</v>
      </c>
      <c r="B10" s="412"/>
      <c r="C10" s="412"/>
      <c r="D10" s="412"/>
      <c r="E10" s="412"/>
      <c r="F10" s="412"/>
      <c r="G10" s="38"/>
      <c r="H10" s="47"/>
      <c r="I10" s="2"/>
      <c r="J10" s="2"/>
    </row>
    <row r="11" spans="1:10" ht="27" customHeight="1" x14ac:dyDescent="0.25">
      <c r="A11" s="413" t="s">
        <v>147</v>
      </c>
      <c r="B11" s="413"/>
      <c r="C11" s="413"/>
      <c r="D11" s="413"/>
      <c r="E11" s="413"/>
      <c r="F11" s="413"/>
      <c r="G11" s="39"/>
      <c r="H11" s="48"/>
      <c r="I11" s="3"/>
      <c r="J11" s="3"/>
    </row>
    <row r="12" spans="1:10" ht="27" customHeight="1" x14ac:dyDescent="0.25">
      <c r="A12" s="414" t="s">
        <v>153</v>
      </c>
      <c r="B12" s="414"/>
      <c r="C12" s="414"/>
      <c r="D12" s="414"/>
      <c r="E12" s="414"/>
      <c r="F12" s="414"/>
      <c r="G12" s="40"/>
      <c r="H12" s="49"/>
      <c r="I12" s="4"/>
      <c r="J12" s="5"/>
    </row>
    <row r="14" spans="1:10" x14ac:dyDescent="0.25">
      <c r="A14" s="1"/>
      <c r="B14" s="6" t="s">
        <v>134</v>
      </c>
      <c r="C14" s="1"/>
      <c r="D14" s="1"/>
      <c r="E14" s="1"/>
      <c r="F14" s="1"/>
      <c r="G14" s="41"/>
      <c r="H14" s="47"/>
      <c r="I14" s="1"/>
      <c r="J14" s="1"/>
    </row>
    <row r="15" spans="1:10" x14ac:dyDescent="0.25">
      <c r="A15" s="1"/>
      <c r="B15" s="6"/>
      <c r="C15" s="1"/>
      <c r="D15" s="1"/>
      <c r="E15" s="1"/>
      <c r="F15" s="1"/>
      <c r="G15" s="41"/>
      <c r="H15" s="47"/>
      <c r="I15" s="1"/>
      <c r="J15" s="1"/>
    </row>
    <row r="16" spans="1:10" ht="31.5" customHeight="1" x14ac:dyDescent="0.25">
      <c r="A16" s="17" t="s">
        <v>1</v>
      </c>
      <c r="B16" s="410" t="s">
        <v>4138</v>
      </c>
      <c r="C16" s="410"/>
      <c r="D16" s="410"/>
      <c r="E16" s="410"/>
      <c r="F16" s="410"/>
      <c r="G16" s="42"/>
      <c r="H16" s="50"/>
      <c r="I16" s="7"/>
      <c r="J16" s="8"/>
    </row>
    <row r="17" spans="1:10" ht="19.5" customHeight="1" x14ac:dyDescent="0.25">
      <c r="A17" s="17" t="s">
        <v>2</v>
      </c>
      <c r="B17" s="415" t="s">
        <v>165</v>
      </c>
      <c r="C17" s="415"/>
      <c r="D17" s="415"/>
      <c r="E17" s="415"/>
      <c r="F17" s="415"/>
      <c r="G17" s="42"/>
      <c r="H17" s="50"/>
      <c r="I17" s="7"/>
      <c r="J17" s="1"/>
    </row>
    <row r="18" spans="1:10" ht="33" customHeight="1" x14ac:dyDescent="0.25">
      <c r="A18" s="17" t="s">
        <v>3</v>
      </c>
      <c r="B18" s="410" t="s">
        <v>166</v>
      </c>
      <c r="C18" s="410"/>
      <c r="D18" s="410"/>
      <c r="E18" s="410"/>
      <c r="F18" s="410"/>
      <c r="G18" s="42"/>
      <c r="H18" s="50"/>
      <c r="I18" s="7"/>
      <c r="J18" s="1"/>
    </row>
    <row r="19" spans="1:10" x14ac:dyDescent="0.25">
      <c r="A19" s="1"/>
      <c r="B19" s="1"/>
      <c r="C19" s="1"/>
      <c r="D19" s="1"/>
      <c r="E19" s="1"/>
      <c r="F19" s="18"/>
      <c r="G19" s="41"/>
      <c r="H19" s="47"/>
      <c r="I19" s="1"/>
      <c r="J19" s="1"/>
    </row>
    <row r="20" spans="1:10" ht="126" x14ac:dyDescent="0.25">
      <c r="A20" s="9" t="s">
        <v>4</v>
      </c>
      <c r="B20" s="9" t="s">
        <v>174</v>
      </c>
      <c r="C20" s="9" t="s">
        <v>5</v>
      </c>
      <c r="D20" s="9" t="s">
        <v>4128</v>
      </c>
      <c r="E20" s="9" t="s">
        <v>4129</v>
      </c>
      <c r="F20" s="9" t="s">
        <v>135</v>
      </c>
      <c r="G20" s="41"/>
      <c r="H20" s="47"/>
      <c r="I20" s="1"/>
      <c r="J20" s="1"/>
    </row>
    <row r="21" spans="1:10" x14ac:dyDescent="0.25">
      <c r="A21" s="9">
        <v>1</v>
      </c>
      <c r="B21" s="9">
        <v>2</v>
      </c>
      <c r="C21" s="9">
        <v>3</v>
      </c>
      <c r="D21" s="9">
        <v>4</v>
      </c>
      <c r="E21" s="9">
        <v>5</v>
      </c>
      <c r="F21" s="9">
        <v>6</v>
      </c>
      <c r="G21" s="41"/>
      <c r="H21" s="47"/>
      <c r="I21" s="1"/>
      <c r="J21" s="1"/>
    </row>
    <row r="22" spans="1:10" x14ac:dyDescent="0.25">
      <c r="A22" s="10" t="s">
        <v>136</v>
      </c>
      <c r="B22" s="21">
        <f>('ССРСС 2025 Мирн'!E67+'ССРСС 2025 Мирн'!F67)*1000</f>
        <v>146846960.00000003</v>
      </c>
      <c r="C22" s="9">
        <f>'Расчет ИД к НМЦК'!F37</f>
        <v>1.0812999999999999</v>
      </c>
      <c r="D22" s="21">
        <f>ROUND(B22*C22,2)</f>
        <v>158785617.84999999</v>
      </c>
      <c r="E22" s="23">
        <f>'Расчет ИД к НМЦК'!F52</f>
        <v>1.0344</v>
      </c>
      <c r="F22" s="21">
        <f>ROUND(D22*E22,2)</f>
        <v>164247843.09999999</v>
      </c>
      <c r="G22" s="41">
        <f>F22</f>
        <v>164247843.09999999</v>
      </c>
      <c r="H22" s="51"/>
      <c r="I22" s="354"/>
      <c r="J22" s="1"/>
    </row>
    <row r="23" spans="1:10" x14ac:dyDescent="0.25">
      <c r="A23" s="10" t="s">
        <v>137</v>
      </c>
      <c r="B23" s="21">
        <f>'ССРСС 2025 Мирн'!G67*1000</f>
        <v>56753790.000000007</v>
      </c>
      <c r="C23" s="9">
        <f>'Расчет ИД к НМЦК'!F37</f>
        <v>1.0812999999999999</v>
      </c>
      <c r="D23" s="21">
        <f>ROUND(B23*C23,2)</f>
        <v>61367873.130000003</v>
      </c>
      <c r="E23" s="23">
        <f>'Расчет ИД к НМЦК'!F52</f>
        <v>1.0344</v>
      </c>
      <c r="F23" s="21">
        <f>ROUND(D23*E23,2)</f>
        <v>63478927.969999999</v>
      </c>
      <c r="G23" s="41">
        <f>F23</f>
        <v>63478927.969999999</v>
      </c>
      <c r="H23" s="51"/>
      <c r="I23" s="354"/>
      <c r="J23" s="1"/>
    </row>
    <row r="24" spans="1:10" x14ac:dyDescent="0.25">
      <c r="A24" s="10" t="s">
        <v>138</v>
      </c>
      <c r="B24" s="21">
        <f>('ССРСС 2025 Мирн'!I73+'ССРСС 2025 Мирн'!I74+'ССРСС 2025 Мирн'!I75+'ССРСС 2025 Мирн'!I76+'ССРСС 2025 Мирн'!I77+'ССРСС 2025 Мирн'!I78)*1000</f>
        <v>1299540</v>
      </c>
      <c r="C24" s="26">
        <f>'Расчет ИД к НМЦК'!F37</f>
        <v>1.0812999999999999</v>
      </c>
      <c r="D24" s="21">
        <f>ROUND(B24*C24,2)</f>
        <v>1405192.6</v>
      </c>
      <c r="E24" s="23">
        <f>'Расчет ИД к НМЦК'!F52</f>
        <v>1.0344</v>
      </c>
      <c r="F24" s="21">
        <f>ROUND(D24*E24,2)</f>
        <v>1453531.23</v>
      </c>
      <c r="G24" s="41">
        <f>F24</f>
        <v>1453531.23</v>
      </c>
      <c r="H24" s="51"/>
      <c r="I24" s="354"/>
      <c r="J24" s="1"/>
    </row>
    <row r="25" spans="1:10" ht="47.25" x14ac:dyDescent="0.25">
      <c r="A25" s="10" t="s">
        <v>151</v>
      </c>
      <c r="B25" s="21">
        <f>'ССРСС 2025 Мирн'!I79*1000</f>
        <v>17960</v>
      </c>
      <c r="C25" s="26">
        <f>'Расчет ИД к НМЦК'!F37</f>
        <v>1.0812999999999999</v>
      </c>
      <c r="D25" s="21">
        <f>ROUND(B25*C25,2)</f>
        <v>19420.150000000001</v>
      </c>
      <c r="E25" s="23">
        <f>'Расчет ИД к НМЦК'!F52</f>
        <v>1.0344</v>
      </c>
      <c r="F25" s="21">
        <f>ROUND(D25*E25,2)</f>
        <v>20088.2</v>
      </c>
      <c r="G25" s="41">
        <f>F25</f>
        <v>20088.2</v>
      </c>
      <c r="H25" s="51"/>
      <c r="I25" s="354"/>
      <c r="J25" s="1"/>
    </row>
    <row r="26" spans="1:10" ht="31.5" x14ac:dyDescent="0.25">
      <c r="A26" s="10" t="s">
        <v>150</v>
      </c>
      <c r="B26" s="21">
        <f>ROUND(B22*1.8%,2)</f>
        <v>2643245.2799999998</v>
      </c>
      <c r="C26" s="9"/>
      <c r="D26" s="21">
        <f>ROUND(D22*1.8%,2)</f>
        <v>2858141.12</v>
      </c>
      <c r="E26" s="23"/>
      <c r="F26" s="21">
        <f>ROUND(F22*1.8%,2)</f>
        <v>2956461.18</v>
      </c>
      <c r="G26" s="41">
        <f>F22+F26</f>
        <v>167204304.28</v>
      </c>
      <c r="H26" s="51"/>
      <c r="I26" s="1"/>
      <c r="J26" s="1"/>
    </row>
    <row r="27" spans="1:10" ht="63" hidden="1" x14ac:dyDescent="0.25">
      <c r="A27" s="10" t="s">
        <v>139</v>
      </c>
      <c r="B27" s="28"/>
      <c r="C27" s="9"/>
      <c r="D27" s="21"/>
      <c r="E27" s="29"/>
      <c r="F27" s="21"/>
      <c r="G27" s="41"/>
      <c r="H27" s="51"/>
      <c r="I27" s="1"/>
      <c r="J27" s="1"/>
    </row>
    <row r="28" spans="1:10" ht="31.5" hidden="1" x14ac:dyDescent="0.25">
      <c r="A28" s="10" t="s">
        <v>173</v>
      </c>
      <c r="B28" s="34"/>
      <c r="C28" s="9"/>
      <c r="D28" s="21"/>
      <c r="E28" s="29"/>
      <c r="F28" s="21"/>
      <c r="G28" s="41"/>
      <c r="H28" s="51"/>
      <c r="I28" s="1"/>
      <c r="J28" s="1"/>
    </row>
    <row r="29" spans="1:10" ht="31.5" hidden="1" x14ac:dyDescent="0.25">
      <c r="A29" s="10" t="s">
        <v>164</v>
      </c>
      <c r="B29" s="34"/>
      <c r="C29" s="9"/>
      <c r="D29" s="21"/>
      <c r="E29" s="29"/>
      <c r="F29" s="21"/>
      <c r="G29" s="41"/>
      <c r="H29" s="51"/>
      <c r="I29" s="53"/>
      <c r="J29" s="1"/>
    </row>
    <row r="30" spans="1:10" ht="31.5" x14ac:dyDescent="0.25">
      <c r="A30" s="10" t="s">
        <v>178</v>
      </c>
      <c r="B30" s="21">
        <f>ROUND((B22+B23+B24+B25+B26)*1%,2)</f>
        <v>2075614.95</v>
      </c>
      <c r="C30" s="9"/>
      <c r="D30" s="21">
        <f>ROUND((D22+D23+D24+D25+D26)*1%,2)</f>
        <v>2244362.4500000002</v>
      </c>
      <c r="E30" s="23"/>
      <c r="F30" s="21">
        <f>ROUND((F22+F23+F24+F25+F26)*1%,2)</f>
        <v>2321568.52</v>
      </c>
      <c r="G30" s="58">
        <f>F30</f>
        <v>2321568.52</v>
      </c>
      <c r="H30" s="51"/>
      <c r="I30" s="54"/>
      <c r="J30" s="1"/>
    </row>
    <row r="31" spans="1:10" x14ac:dyDescent="0.25">
      <c r="A31" s="10" t="s">
        <v>140</v>
      </c>
      <c r="B31" s="21">
        <f>SUM(B22:B30)</f>
        <v>209637110.23000002</v>
      </c>
      <c r="C31" s="9"/>
      <c r="D31" s="21">
        <f>SUM(D22:D30)</f>
        <v>226680607.29999998</v>
      </c>
      <c r="E31" s="27"/>
      <c r="F31" s="55">
        <f>SUM(F22:F30)</f>
        <v>234478420.19999999</v>
      </c>
      <c r="G31" s="59">
        <f>SUM(G23:G30)</f>
        <v>234478420.20000002</v>
      </c>
      <c r="H31" s="51"/>
      <c r="I31" s="1"/>
      <c r="J31" s="1"/>
    </row>
    <row r="32" spans="1:10" x14ac:dyDescent="0.25">
      <c r="A32" s="10" t="s">
        <v>141</v>
      </c>
      <c r="B32" s="21">
        <f>ROUND(B31*20%,2)</f>
        <v>41927422.049999997</v>
      </c>
      <c r="C32" s="9"/>
      <c r="D32" s="21">
        <f>ROUND((D31)*20%,2)</f>
        <v>45336121.460000001</v>
      </c>
      <c r="E32" s="27"/>
      <c r="F32" s="21">
        <f>ROUND((F31)*20%,2)</f>
        <v>46895684.039999999</v>
      </c>
      <c r="G32" s="58">
        <f>G31*20%</f>
        <v>46895684.040000007</v>
      </c>
      <c r="H32" s="51"/>
      <c r="I32" s="1"/>
      <c r="J32" s="1"/>
    </row>
    <row r="33" spans="1:10" x14ac:dyDescent="0.25">
      <c r="A33" s="10" t="s">
        <v>142</v>
      </c>
      <c r="B33" s="21">
        <f>B31+B32</f>
        <v>251564532.28000003</v>
      </c>
      <c r="C33" s="9"/>
      <c r="D33" s="21">
        <f>D31+D32</f>
        <v>272016728.75999999</v>
      </c>
      <c r="E33" s="27"/>
      <c r="F33" s="21">
        <f>F31+F32</f>
        <v>281374104.24000001</v>
      </c>
      <c r="G33" s="58">
        <f>G31+G32</f>
        <v>281374104.24000001</v>
      </c>
      <c r="H33" s="52"/>
      <c r="I33" s="1"/>
      <c r="J33" s="20"/>
    </row>
    <row r="34" spans="1:10" x14ac:dyDescent="0.25">
      <c r="A34" s="2"/>
      <c r="B34" s="2"/>
      <c r="C34" s="2"/>
      <c r="D34" s="2"/>
      <c r="E34" s="2"/>
      <c r="F34" s="22"/>
      <c r="G34" s="41"/>
      <c r="H34" s="51"/>
      <c r="I34" s="1"/>
      <c r="J34" s="1"/>
    </row>
    <row r="35" spans="1:10" x14ac:dyDescent="0.25">
      <c r="A35" s="24" t="s">
        <v>4143</v>
      </c>
      <c r="B35" s="19"/>
      <c r="C35" s="19"/>
      <c r="D35" s="19"/>
      <c r="E35" s="2"/>
      <c r="F35" s="11"/>
      <c r="G35" s="42"/>
      <c r="H35" s="47"/>
      <c r="I35" s="1"/>
      <c r="J35" s="1"/>
    </row>
    <row r="36" spans="1:10" x14ac:dyDescent="0.25">
      <c r="A36" s="24"/>
      <c r="B36" s="12"/>
      <c r="C36" s="12"/>
      <c r="D36" s="12"/>
      <c r="E36" s="2"/>
      <c r="F36" s="11"/>
      <c r="G36" s="42"/>
      <c r="H36" s="47"/>
      <c r="I36" s="1"/>
      <c r="J36" s="1"/>
    </row>
    <row r="37" spans="1:10" x14ac:dyDescent="0.25">
      <c r="A37" s="24" t="s">
        <v>4142</v>
      </c>
      <c r="B37" s="12"/>
      <c r="C37" s="12"/>
      <c r="D37" s="12"/>
      <c r="E37" s="2"/>
      <c r="F37" s="11"/>
      <c r="G37" s="42"/>
      <c r="H37" s="47"/>
      <c r="I37" s="1"/>
      <c r="J37" s="1"/>
    </row>
    <row r="38" spans="1:10" x14ac:dyDescent="0.25">
      <c r="A38" s="411"/>
      <c r="B38" s="411"/>
      <c r="C38" s="411"/>
      <c r="D38" s="411"/>
      <c r="E38" s="14"/>
      <c r="F38" s="11"/>
      <c r="G38" s="42"/>
      <c r="H38" s="47"/>
      <c r="I38" s="1"/>
      <c r="J38" s="1"/>
    </row>
    <row r="39" spans="1:10" x14ac:dyDescent="0.25">
      <c r="A39" s="12"/>
      <c r="B39" s="14"/>
      <c r="C39" s="2"/>
      <c r="D39" s="11"/>
      <c r="E39" s="32"/>
      <c r="F39" s="11"/>
      <c r="G39" s="43"/>
      <c r="H39" s="47"/>
    </row>
    <row r="40" spans="1:10" x14ac:dyDescent="0.25">
      <c r="A40" s="12" t="s">
        <v>148</v>
      </c>
      <c r="B40" s="14"/>
      <c r="C40" s="2"/>
      <c r="D40" s="11"/>
      <c r="E40" s="32"/>
      <c r="F40" s="11"/>
      <c r="G40" s="42"/>
      <c r="H40" s="47"/>
    </row>
    <row r="41" spans="1:10" x14ac:dyDescent="0.25">
      <c r="A41" s="2"/>
      <c r="B41" s="33"/>
      <c r="C41" s="2"/>
      <c r="D41" s="2"/>
      <c r="E41" s="2"/>
      <c r="F41" s="2"/>
      <c r="G41" s="44"/>
      <c r="H41" s="47"/>
    </row>
    <row r="42" spans="1:10" x14ac:dyDescent="0.25">
      <c r="A42" s="12" t="s">
        <v>149</v>
      </c>
      <c r="B42" s="2"/>
      <c r="C42" s="2"/>
      <c r="D42" s="2"/>
      <c r="E42" s="2"/>
      <c r="F42" s="2"/>
      <c r="G42" s="44"/>
      <c r="H42" s="47"/>
    </row>
    <row r="43" spans="1:10" x14ac:dyDescent="0.25">
      <c r="A43" s="12"/>
      <c r="B43" s="2"/>
      <c r="C43" s="2"/>
      <c r="D43" s="2"/>
      <c r="E43" s="2"/>
      <c r="F43" s="2"/>
      <c r="G43" s="44"/>
      <c r="H43" s="47"/>
    </row>
    <row r="44" spans="1:10" x14ac:dyDescent="0.25">
      <c r="A44" s="12" t="s">
        <v>152</v>
      </c>
      <c r="B44" s="2"/>
      <c r="C44" s="2"/>
      <c r="D44" s="2"/>
      <c r="E44" s="2"/>
      <c r="F44" s="2"/>
      <c r="G44" s="38"/>
      <c r="H44" s="47"/>
    </row>
    <row r="45" spans="1:10" x14ac:dyDescent="0.25">
      <c r="A45" s="15"/>
      <c r="B45" s="13"/>
      <c r="C45" s="13"/>
      <c r="D45" s="13"/>
      <c r="E45" s="31"/>
      <c r="F45" s="31"/>
      <c r="G45" s="44"/>
      <c r="H45" s="47"/>
    </row>
    <row r="46" spans="1:10" x14ac:dyDescent="0.25">
      <c r="A46" s="13"/>
      <c r="B46" s="35"/>
      <c r="C46" s="13"/>
      <c r="D46" s="35"/>
      <c r="E46" s="31"/>
      <c r="F46" s="35"/>
      <c r="G46" s="44"/>
      <c r="H46" s="47"/>
    </row>
    <row r="47" spans="1:10" x14ac:dyDescent="0.25">
      <c r="A47" s="12"/>
      <c r="B47" s="36"/>
      <c r="C47" s="12"/>
      <c r="D47" s="36"/>
      <c r="E47" s="31"/>
      <c r="F47" s="36"/>
      <c r="G47" s="44"/>
      <c r="H47" s="47"/>
    </row>
    <row r="48" spans="1:10" x14ac:dyDescent="0.25">
      <c r="A48" s="15"/>
      <c r="B48" s="56"/>
      <c r="C48" s="16"/>
      <c r="D48" s="56"/>
      <c r="E48" s="31"/>
      <c r="F48" s="56"/>
      <c r="G48" s="44"/>
      <c r="H48" s="47"/>
    </row>
    <row r="49" spans="1:8" x14ac:dyDescent="0.25">
      <c r="A49" s="15"/>
      <c r="B49" s="56"/>
      <c r="C49" s="16"/>
      <c r="D49" s="56"/>
      <c r="E49" s="31"/>
      <c r="F49" s="56"/>
      <c r="G49" s="44"/>
      <c r="H49" s="47"/>
    </row>
    <row r="50" spans="1:8" x14ac:dyDescent="0.25">
      <c r="A50" s="15"/>
      <c r="B50" s="57"/>
      <c r="C50" s="16"/>
      <c r="D50" s="57"/>
      <c r="E50" s="31"/>
      <c r="F50" s="57"/>
      <c r="G50" s="44"/>
      <c r="H50" s="47"/>
    </row>
    <row r="51" spans="1:8" x14ac:dyDescent="0.25">
      <c r="F51" s="30"/>
    </row>
  </sheetData>
  <mergeCells count="8">
    <mergeCell ref="B18:F18"/>
    <mergeCell ref="A38:D38"/>
    <mergeCell ref="A9:F9"/>
    <mergeCell ref="A10:F10"/>
    <mergeCell ref="A11:F11"/>
    <mergeCell ref="A12:F12"/>
    <mergeCell ref="B16:F16"/>
    <mergeCell ref="B17:F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8644-5BFD-4240-A2FD-E0B420910828}">
  <sheetPr>
    <pageSetUpPr fitToPage="1"/>
  </sheetPr>
  <dimension ref="A1:V3525"/>
  <sheetViews>
    <sheetView tabSelected="1" view="pageBreakPreview" topLeftCell="A3485" zoomScaleNormal="100" zoomScaleSheetLayoutView="100" workbookViewId="0">
      <selection activeCell="H13" sqref="H13:I13"/>
    </sheetView>
  </sheetViews>
  <sheetFormatPr defaultColWidth="9.140625" defaultRowHeight="14.25" outlineLevelRow="1" outlineLevelCol="1" x14ac:dyDescent="0.25"/>
  <cols>
    <col min="1" max="1" width="6.7109375" style="165" customWidth="1"/>
    <col min="2" max="2" width="10" style="162" customWidth="1"/>
    <col min="3" max="3" width="10.5703125" style="162" customWidth="1"/>
    <col min="4" max="4" width="16.140625" style="161" hidden="1" customWidth="1" outlineLevel="1"/>
    <col min="5" max="5" width="62.7109375" style="162" customWidth="1" collapsed="1"/>
    <col min="6" max="7" width="10.7109375" style="162" customWidth="1"/>
    <col min="8" max="8" width="17.7109375" style="162" customWidth="1" outlineLevel="1"/>
    <col min="9" max="9" width="17.5703125" style="165" customWidth="1" outlineLevel="1"/>
    <col min="10" max="11" width="17.7109375" style="161" customWidth="1"/>
    <col min="12" max="12" width="17.85546875" style="161" customWidth="1"/>
    <col min="13" max="14" width="19.140625" style="138" customWidth="1"/>
    <col min="15" max="15" width="18.28515625" style="138" customWidth="1"/>
    <col min="16" max="16" width="18.28515625" style="161" customWidth="1"/>
    <col min="17" max="17" width="15.42578125" style="161" customWidth="1"/>
    <col min="18" max="18" width="39.28515625" style="161" bestFit="1" customWidth="1"/>
    <col min="19" max="19" width="9.140625" style="162"/>
    <col min="20" max="20" width="16.7109375" style="162" customWidth="1"/>
    <col min="21" max="21" width="10.42578125" style="162" bestFit="1" customWidth="1"/>
    <col min="22" max="16384" width="9.140625" style="162"/>
  </cols>
  <sheetData>
    <row r="1" spans="1:22" x14ac:dyDescent="0.25">
      <c r="K1" s="286"/>
      <c r="L1" s="286" t="s">
        <v>3194</v>
      </c>
    </row>
    <row r="2" spans="1:22" x14ac:dyDescent="0.25">
      <c r="K2" s="180"/>
      <c r="L2" s="180" t="s">
        <v>4140</v>
      </c>
    </row>
    <row r="3" spans="1:22" x14ac:dyDescent="0.25">
      <c r="K3" s="180"/>
      <c r="L3" s="180" t="s">
        <v>4235</v>
      </c>
    </row>
    <row r="4" spans="1:22" x14ac:dyDescent="0.25">
      <c r="K4" s="180"/>
      <c r="L4" s="180" t="s">
        <v>3426</v>
      </c>
    </row>
    <row r="5" spans="1:22" x14ac:dyDescent="0.25">
      <c r="K5" s="180"/>
      <c r="L5" s="180" t="s">
        <v>3427</v>
      </c>
    </row>
    <row r="6" spans="1:22" x14ac:dyDescent="0.25">
      <c r="K6" s="180"/>
      <c r="L6" s="180" t="s">
        <v>4141</v>
      </c>
    </row>
    <row r="7" spans="1:22" s="181" customFormat="1" ht="15.75" x14ac:dyDescent="0.25">
      <c r="A7" s="430" t="s">
        <v>3195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204" t="s">
        <v>3191</v>
      </c>
      <c r="N7" s="205">
        <f>'Расчет ИД к НМЦК'!F37</f>
        <v>1.0812999999999999</v>
      </c>
      <c r="O7" s="139">
        <v>1.0666</v>
      </c>
    </row>
    <row r="8" spans="1:22" s="181" customFormat="1" ht="15.75" x14ac:dyDescent="0.25">
      <c r="A8" s="182"/>
      <c r="B8" s="182"/>
      <c r="C8" s="182"/>
      <c r="D8" s="182"/>
      <c r="E8" s="182"/>
      <c r="F8" s="182"/>
      <c r="G8" s="182"/>
      <c r="H8" s="182"/>
      <c r="I8" s="182"/>
      <c r="K8" s="73"/>
      <c r="L8" s="73"/>
      <c r="M8" s="204" t="s">
        <v>3192</v>
      </c>
      <c r="N8" s="206">
        <f>'Расчет ИД к НМЦК'!F52</f>
        <v>1.0344</v>
      </c>
      <c r="O8" s="139">
        <v>1.0295000000000001</v>
      </c>
    </row>
    <row r="9" spans="1:22" s="183" customFormat="1" ht="15.75" x14ac:dyDescent="0.25">
      <c r="A9" s="431" t="s">
        <v>4236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204" t="s">
        <v>3193</v>
      </c>
      <c r="N9" s="205">
        <f>1.018</f>
        <v>1.018</v>
      </c>
      <c r="O9" s="138">
        <v>1.018</v>
      </c>
      <c r="P9" s="73"/>
      <c r="Q9" s="73"/>
      <c r="R9" s="73"/>
    </row>
    <row r="10" spans="1:22" s="181" customFormat="1" ht="15.75" x14ac:dyDescent="0.25">
      <c r="A10" s="430" t="s">
        <v>3196</v>
      </c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204" t="s">
        <v>3199</v>
      </c>
      <c r="N10" s="205">
        <v>1</v>
      </c>
      <c r="O10" s="139">
        <v>1</v>
      </c>
    </row>
    <row r="11" spans="1:22" s="72" customFormat="1" x14ac:dyDescent="0.25">
      <c r="A11" s="432" t="s">
        <v>183</v>
      </c>
      <c r="B11" s="432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204" t="s">
        <v>3198</v>
      </c>
      <c r="N11" s="213">
        <f>ROUND(N7*N8*N9*N10,4)</f>
        <v>1.1386000000000001</v>
      </c>
      <c r="O11" s="139">
        <v>1.1178298646000002</v>
      </c>
    </row>
    <row r="12" spans="1:22" x14ac:dyDescent="0.25">
      <c r="M12" s="71" t="s">
        <v>3197</v>
      </c>
      <c r="N12" s="206">
        <f>ROUND(N7*N8*N10,4)</f>
        <v>1.1185</v>
      </c>
      <c r="O12" s="138">
        <v>1.0980647000000001</v>
      </c>
    </row>
    <row r="13" spans="1:22" s="63" customFormat="1" ht="15" x14ac:dyDescent="0.25">
      <c r="A13" s="417" t="s">
        <v>184</v>
      </c>
      <c r="B13" s="417" t="s">
        <v>30</v>
      </c>
      <c r="C13" s="417"/>
      <c r="D13" s="417"/>
      <c r="E13" s="417" t="s">
        <v>185</v>
      </c>
      <c r="F13" s="417" t="s">
        <v>186</v>
      </c>
      <c r="G13" s="417" t="s">
        <v>187</v>
      </c>
      <c r="H13" s="416" t="s">
        <v>188</v>
      </c>
      <c r="I13" s="416"/>
      <c r="J13" s="416" t="s">
        <v>188</v>
      </c>
      <c r="K13" s="416"/>
      <c r="L13" s="423" t="s">
        <v>4127</v>
      </c>
      <c r="M13" s="139"/>
      <c r="N13" s="139"/>
      <c r="O13" s="139"/>
      <c r="S13" s="72"/>
      <c r="T13" s="72"/>
      <c r="U13" s="72"/>
      <c r="V13" s="72"/>
    </row>
    <row r="14" spans="1:22" s="63" customFormat="1" ht="15" x14ac:dyDescent="0.25">
      <c r="A14" s="417"/>
      <c r="B14" s="417" t="s">
        <v>189</v>
      </c>
      <c r="C14" s="426" t="s">
        <v>4212</v>
      </c>
      <c r="D14" s="427"/>
      <c r="E14" s="417"/>
      <c r="F14" s="417"/>
      <c r="G14" s="417"/>
      <c r="H14" s="417" t="s">
        <v>190</v>
      </c>
      <c r="I14" s="416" t="s">
        <v>191</v>
      </c>
      <c r="J14" s="417" t="s">
        <v>190</v>
      </c>
      <c r="K14" s="416" t="s">
        <v>191</v>
      </c>
      <c r="L14" s="424"/>
      <c r="M14" s="139"/>
      <c r="N14" s="139"/>
      <c r="O14" s="139"/>
      <c r="S14" s="72"/>
      <c r="T14" s="72"/>
      <c r="U14" s="72"/>
      <c r="V14" s="72"/>
    </row>
    <row r="15" spans="1:22" s="63" customFormat="1" ht="15" x14ac:dyDescent="0.25">
      <c r="A15" s="417"/>
      <c r="B15" s="417"/>
      <c r="C15" s="428"/>
      <c r="D15" s="429"/>
      <c r="E15" s="417"/>
      <c r="F15" s="417"/>
      <c r="G15" s="417"/>
      <c r="H15" s="417"/>
      <c r="I15" s="416"/>
      <c r="J15" s="417"/>
      <c r="K15" s="416"/>
      <c r="L15" s="425"/>
      <c r="M15" s="139"/>
      <c r="N15" s="139"/>
      <c r="O15" s="139"/>
      <c r="S15" s="72"/>
      <c r="T15" s="72"/>
      <c r="U15" s="72"/>
      <c r="V15" s="72"/>
    </row>
    <row r="16" spans="1:22" s="63" customFormat="1" ht="15" x14ac:dyDescent="0.25">
      <c r="A16" s="75">
        <v>1</v>
      </c>
      <c r="B16" s="75">
        <v>2</v>
      </c>
      <c r="C16" s="75">
        <v>3</v>
      </c>
      <c r="D16" s="74">
        <v>4</v>
      </c>
      <c r="E16" s="75">
        <v>4</v>
      </c>
      <c r="F16" s="75">
        <v>5</v>
      </c>
      <c r="G16" s="75">
        <v>6</v>
      </c>
      <c r="H16" s="75">
        <v>8</v>
      </c>
      <c r="I16" s="75">
        <v>9</v>
      </c>
      <c r="J16" s="75">
        <v>7</v>
      </c>
      <c r="K16" s="75">
        <v>8</v>
      </c>
      <c r="L16" s="285">
        <v>9</v>
      </c>
      <c r="M16" s="139"/>
      <c r="N16" s="139"/>
      <c r="O16" s="139"/>
      <c r="S16" s="72"/>
      <c r="T16" s="72"/>
      <c r="U16" s="72"/>
      <c r="V16" s="72"/>
    </row>
    <row r="17" spans="1:22" s="63" customFormat="1" ht="15" x14ac:dyDescent="0.25">
      <c r="A17" s="194">
        <v>1</v>
      </c>
      <c r="B17" s="418" t="s">
        <v>192</v>
      </c>
      <c r="C17" s="418"/>
      <c r="D17" s="418"/>
      <c r="E17" s="195" t="s">
        <v>39</v>
      </c>
      <c r="F17" s="196"/>
      <c r="G17" s="194">
        <v>1</v>
      </c>
      <c r="H17" s="197">
        <v>14063900.68</v>
      </c>
      <c r="I17" s="355">
        <f>SUM(I18:I279)</f>
        <v>7872578.2799999993</v>
      </c>
      <c r="J17" s="199"/>
      <c r="K17" s="198">
        <f>SUM(K18:K279)</f>
        <v>8963720.6399999987</v>
      </c>
      <c r="L17" s="198"/>
      <c r="M17" s="207"/>
      <c r="N17" s="209"/>
      <c r="O17" s="139"/>
      <c r="S17" s="72"/>
      <c r="T17" s="72"/>
      <c r="U17" s="72"/>
      <c r="V17" s="72"/>
    </row>
    <row r="18" spans="1:22" s="128" customFormat="1" ht="12.75" x14ac:dyDescent="0.25">
      <c r="A18" s="237"/>
      <c r="B18" s="125"/>
      <c r="C18" s="236"/>
      <c r="D18" s="77"/>
      <c r="E18" s="126" t="s">
        <v>3202</v>
      </c>
      <c r="F18" s="125"/>
      <c r="G18" s="240"/>
      <c r="H18" s="127"/>
      <c r="I18" s="78"/>
      <c r="J18" s="238"/>
      <c r="K18" s="239"/>
      <c r="L18" s="239"/>
      <c r="M18" s="79"/>
      <c r="N18" s="129"/>
      <c r="O18" s="129"/>
      <c r="S18" s="129"/>
      <c r="T18" s="129"/>
      <c r="U18" s="129"/>
      <c r="V18" s="129"/>
    </row>
    <row r="19" spans="1:22" s="128" customFormat="1" ht="12.75" x14ac:dyDescent="0.25">
      <c r="A19" s="237"/>
      <c r="B19" s="125"/>
      <c r="C19" s="236"/>
      <c r="D19" s="77"/>
      <c r="E19" s="126" t="s">
        <v>3201</v>
      </c>
      <c r="F19" s="125"/>
      <c r="G19" s="240"/>
      <c r="H19" s="127"/>
      <c r="I19" s="78"/>
      <c r="J19" s="238"/>
      <c r="K19" s="239"/>
      <c r="L19" s="239"/>
      <c r="M19" s="79"/>
      <c r="N19" s="129"/>
      <c r="O19" s="129"/>
      <c r="S19" s="129"/>
      <c r="T19" s="129"/>
      <c r="U19" s="129"/>
      <c r="V19" s="129"/>
    </row>
    <row r="20" spans="1:22" s="63" customFormat="1" ht="15" x14ac:dyDescent="0.25">
      <c r="A20" s="356" t="s">
        <v>4213</v>
      </c>
      <c r="B20" s="81" t="s">
        <v>38</v>
      </c>
      <c r="C20" s="82">
        <v>25</v>
      </c>
      <c r="D20" s="131" t="s">
        <v>214</v>
      </c>
      <c r="E20" s="83" t="s">
        <v>215</v>
      </c>
      <c r="F20" s="81" t="s">
        <v>216</v>
      </c>
      <c r="G20" s="80">
        <v>0.1</v>
      </c>
      <c r="H20" s="85"/>
      <c r="I20" s="86">
        <v>52288.31</v>
      </c>
      <c r="J20" s="185">
        <f t="shared" ref="J20:J25" si="0">ROUND($I20/$G20*$N$11,2)</f>
        <v>595354.69999999995</v>
      </c>
      <c r="K20" s="189">
        <f t="shared" ref="K20:K25" si="1">ROUND(G20*J20,2)</f>
        <v>59535.47</v>
      </c>
      <c r="L20" s="189"/>
      <c r="M20" s="207"/>
      <c r="N20" s="139"/>
      <c r="O20" s="139"/>
      <c r="S20" s="72"/>
      <c r="T20" s="72"/>
      <c r="U20" s="72"/>
      <c r="V20" s="72"/>
    </row>
    <row r="21" spans="1:22" s="63" customFormat="1" ht="22.5" x14ac:dyDescent="0.25">
      <c r="A21" s="356" t="s">
        <v>4214</v>
      </c>
      <c r="B21" s="81" t="s">
        <v>38</v>
      </c>
      <c r="C21" s="80">
        <v>25.1</v>
      </c>
      <c r="D21" s="131" t="s">
        <v>217</v>
      </c>
      <c r="E21" s="83" t="s">
        <v>218</v>
      </c>
      <c r="F21" s="81" t="s">
        <v>219</v>
      </c>
      <c r="G21" s="82">
        <v>10</v>
      </c>
      <c r="H21" s="85"/>
      <c r="I21" s="86">
        <v>204248.88</v>
      </c>
      <c r="J21" s="185">
        <f t="shared" si="0"/>
        <v>23255.78</v>
      </c>
      <c r="K21" s="189">
        <f t="shared" si="1"/>
        <v>232557.8</v>
      </c>
      <c r="L21" s="189"/>
      <c r="M21" s="138"/>
      <c r="N21" s="139"/>
      <c r="O21" s="139"/>
      <c r="S21" s="72"/>
      <c r="T21" s="72"/>
      <c r="U21" s="72"/>
      <c r="V21" s="72"/>
    </row>
    <row r="22" spans="1:22" s="63" customFormat="1" ht="33.75" x14ac:dyDescent="0.25">
      <c r="A22" s="356" t="s">
        <v>4215</v>
      </c>
      <c r="B22" s="81" t="s">
        <v>38</v>
      </c>
      <c r="C22" s="82">
        <v>26</v>
      </c>
      <c r="D22" s="131" t="s">
        <v>220</v>
      </c>
      <c r="E22" s="83" t="s">
        <v>221</v>
      </c>
      <c r="F22" s="81" t="s">
        <v>196</v>
      </c>
      <c r="G22" s="88">
        <v>1.0200000000000001E-2</v>
      </c>
      <c r="H22" s="85"/>
      <c r="I22" s="86">
        <v>9207.24</v>
      </c>
      <c r="J22" s="185">
        <f t="shared" si="0"/>
        <v>1027780.73</v>
      </c>
      <c r="K22" s="189">
        <f t="shared" si="1"/>
        <v>10483.36</v>
      </c>
      <c r="L22" s="189"/>
      <c r="M22" s="138"/>
      <c r="N22" s="139"/>
      <c r="O22" s="139"/>
      <c r="S22" s="72"/>
      <c r="T22" s="72"/>
      <c r="U22" s="72"/>
      <c r="V22" s="72"/>
    </row>
    <row r="23" spans="1:22" s="63" customFormat="1" ht="22.5" x14ac:dyDescent="0.25">
      <c r="A23" s="356" t="s">
        <v>4216</v>
      </c>
      <c r="B23" s="81" t="s">
        <v>38</v>
      </c>
      <c r="C23" s="80">
        <v>26.1</v>
      </c>
      <c r="D23" s="131" t="s">
        <v>222</v>
      </c>
      <c r="E23" s="83" t="s">
        <v>223</v>
      </c>
      <c r="F23" s="81" t="s">
        <v>205</v>
      </c>
      <c r="G23" s="88">
        <v>1.0353000000000001</v>
      </c>
      <c r="H23" s="85"/>
      <c r="I23" s="86">
        <v>6006.17</v>
      </c>
      <c r="J23" s="185">
        <f t="shared" si="0"/>
        <v>6605.45</v>
      </c>
      <c r="K23" s="189">
        <f t="shared" si="1"/>
        <v>6838.62</v>
      </c>
      <c r="L23" s="189"/>
      <c r="M23" s="138"/>
      <c r="N23" s="139"/>
      <c r="O23" s="139"/>
      <c r="S23" s="72"/>
      <c r="T23" s="72"/>
      <c r="U23" s="72"/>
      <c r="V23" s="72"/>
    </row>
    <row r="24" spans="1:22" s="63" customFormat="1" ht="22.5" x14ac:dyDescent="0.25">
      <c r="A24" s="87">
        <v>1.1599999999999999</v>
      </c>
      <c r="B24" s="81" t="s">
        <v>38</v>
      </c>
      <c r="C24" s="80">
        <v>26.2</v>
      </c>
      <c r="D24" s="131" t="s">
        <v>224</v>
      </c>
      <c r="E24" s="83" t="s">
        <v>225</v>
      </c>
      <c r="F24" s="81" t="s">
        <v>226</v>
      </c>
      <c r="G24" s="84">
        <v>2.8000000000000001E-2</v>
      </c>
      <c r="H24" s="85"/>
      <c r="I24" s="86">
        <v>1382.08</v>
      </c>
      <c r="J24" s="185">
        <f t="shared" si="0"/>
        <v>56201.3</v>
      </c>
      <c r="K24" s="189">
        <f t="shared" si="1"/>
        <v>1573.64</v>
      </c>
      <c r="L24" s="189"/>
      <c r="M24" s="138"/>
      <c r="N24" s="139"/>
      <c r="O24" s="139"/>
      <c r="S24" s="72"/>
      <c r="T24" s="72"/>
      <c r="U24" s="72"/>
      <c r="V24" s="72"/>
    </row>
    <row r="25" spans="1:22" s="63" customFormat="1" ht="22.5" x14ac:dyDescent="0.25">
      <c r="A25" s="87">
        <v>1.17</v>
      </c>
      <c r="B25" s="81" t="s">
        <v>38</v>
      </c>
      <c r="C25" s="80">
        <v>26.3</v>
      </c>
      <c r="D25" s="131" t="s">
        <v>227</v>
      </c>
      <c r="E25" s="83" t="s">
        <v>228</v>
      </c>
      <c r="F25" s="81" t="s">
        <v>226</v>
      </c>
      <c r="G25" s="88">
        <v>6.6299999999999998E-2</v>
      </c>
      <c r="H25" s="85"/>
      <c r="I25" s="86">
        <v>3231.43</v>
      </c>
      <c r="J25" s="185">
        <f t="shared" si="0"/>
        <v>55494.81</v>
      </c>
      <c r="K25" s="189">
        <f t="shared" si="1"/>
        <v>3679.31</v>
      </c>
      <c r="L25" s="189"/>
      <c r="M25" s="138"/>
      <c r="N25" s="139"/>
      <c r="O25" s="139"/>
      <c r="S25" s="72"/>
      <c r="T25" s="72"/>
      <c r="U25" s="72"/>
      <c r="V25" s="72"/>
    </row>
    <row r="26" spans="1:22" s="128" customFormat="1" ht="12.75" x14ac:dyDescent="0.25">
      <c r="A26" s="237"/>
      <c r="B26" s="125"/>
      <c r="C26" s="236"/>
      <c r="D26" s="77"/>
      <c r="E26" s="126" t="s">
        <v>3203</v>
      </c>
      <c r="F26" s="125"/>
      <c r="G26" s="240"/>
      <c r="H26" s="127"/>
      <c r="I26" s="78"/>
      <c r="J26" s="238"/>
      <c r="K26" s="239"/>
      <c r="L26" s="239"/>
      <c r="M26" s="79"/>
      <c r="N26" s="129"/>
      <c r="O26" s="129"/>
      <c r="S26" s="129"/>
      <c r="T26" s="129"/>
      <c r="U26" s="129"/>
      <c r="V26" s="129"/>
    </row>
    <row r="27" spans="1:22" s="63" customFormat="1" ht="15" x14ac:dyDescent="0.25">
      <c r="A27" s="87">
        <v>1.18</v>
      </c>
      <c r="B27" s="81" t="s">
        <v>38</v>
      </c>
      <c r="C27" s="82">
        <v>27</v>
      </c>
      <c r="D27" s="131" t="s">
        <v>229</v>
      </c>
      <c r="E27" s="83" t="s">
        <v>230</v>
      </c>
      <c r="F27" s="81" t="s">
        <v>196</v>
      </c>
      <c r="G27" s="84">
        <v>1.9E-2</v>
      </c>
      <c r="H27" s="85"/>
      <c r="I27" s="86">
        <v>46060.97</v>
      </c>
      <c r="J27" s="185">
        <f>ROUND($I27/$G27*$N$11,2)</f>
        <v>2760264.23</v>
      </c>
      <c r="K27" s="189">
        <f>ROUND(G27*J27,2)</f>
        <v>52445.02</v>
      </c>
      <c r="L27" s="189"/>
      <c r="M27" s="138"/>
      <c r="N27" s="139"/>
      <c r="O27" s="139"/>
      <c r="S27" s="72"/>
      <c r="T27" s="72"/>
      <c r="U27" s="72"/>
      <c r="V27" s="72"/>
    </row>
    <row r="28" spans="1:22" s="63" customFormat="1" ht="22.5" x14ac:dyDescent="0.25">
      <c r="A28" s="87">
        <v>1.19</v>
      </c>
      <c r="B28" s="81" t="s">
        <v>38</v>
      </c>
      <c r="C28" s="80">
        <v>27.1</v>
      </c>
      <c r="D28" s="131" t="s">
        <v>231</v>
      </c>
      <c r="E28" s="83" t="s">
        <v>232</v>
      </c>
      <c r="F28" s="81" t="s">
        <v>205</v>
      </c>
      <c r="G28" s="88">
        <v>1.9285000000000001</v>
      </c>
      <c r="H28" s="85"/>
      <c r="I28" s="86">
        <v>13669.61</v>
      </c>
      <c r="J28" s="185">
        <f>ROUND($I28/$G28*$N$11,2)</f>
        <v>8070.63</v>
      </c>
      <c r="K28" s="189">
        <f>ROUND(G28*J28,2)</f>
        <v>15564.21</v>
      </c>
      <c r="L28" s="189"/>
      <c r="M28" s="138"/>
      <c r="N28" s="139"/>
      <c r="O28" s="139"/>
      <c r="S28" s="72"/>
      <c r="T28" s="72"/>
      <c r="U28" s="72"/>
      <c r="V28" s="72"/>
    </row>
    <row r="29" spans="1:22" s="234" customFormat="1" ht="15" x14ac:dyDescent="0.25">
      <c r="A29" s="231"/>
      <c r="B29" s="227"/>
      <c r="C29" s="226"/>
      <c r="D29" s="229"/>
      <c r="E29" s="230" t="s">
        <v>3204</v>
      </c>
      <c r="F29" s="227"/>
      <c r="G29" s="241"/>
      <c r="H29" s="232"/>
      <c r="I29" s="233"/>
      <c r="J29" s="188"/>
      <c r="K29" s="186"/>
      <c r="L29" s="186"/>
      <c r="M29" s="79"/>
      <c r="N29" s="129"/>
      <c r="O29" s="129"/>
      <c r="S29" s="235"/>
      <c r="T29" s="235"/>
      <c r="U29" s="235"/>
      <c r="V29" s="235"/>
    </row>
    <row r="30" spans="1:22" s="63" customFormat="1" ht="15" x14ac:dyDescent="0.25">
      <c r="A30" s="87">
        <v>1.2</v>
      </c>
      <c r="B30" s="81" t="s">
        <v>38</v>
      </c>
      <c r="C30" s="82">
        <v>29</v>
      </c>
      <c r="D30" s="131" t="s">
        <v>229</v>
      </c>
      <c r="E30" s="83" t="s">
        <v>230</v>
      </c>
      <c r="F30" s="81" t="s">
        <v>196</v>
      </c>
      <c r="G30" s="84">
        <v>6.9000000000000006E-2</v>
      </c>
      <c r="H30" s="85"/>
      <c r="I30" s="86">
        <v>167275.96</v>
      </c>
      <c r="J30" s="185">
        <f t="shared" ref="J30:J37" si="2">ROUND($I30/$G30*$N$11,2)</f>
        <v>2760295.77</v>
      </c>
      <c r="K30" s="189">
        <f t="shared" ref="K30:K37" si="3">ROUND(G30*J30,2)</f>
        <v>190460.41</v>
      </c>
      <c r="L30" s="189"/>
      <c r="M30" s="138"/>
      <c r="N30" s="139"/>
      <c r="O30" s="139"/>
      <c r="S30" s="72"/>
      <c r="T30" s="72"/>
      <c r="U30" s="72"/>
      <c r="V30" s="72"/>
    </row>
    <row r="31" spans="1:22" s="63" customFormat="1" ht="22.5" x14ac:dyDescent="0.25">
      <c r="A31" s="87">
        <v>1.21</v>
      </c>
      <c r="B31" s="81" t="s">
        <v>38</v>
      </c>
      <c r="C31" s="80">
        <v>29.1</v>
      </c>
      <c r="D31" s="131" t="s">
        <v>222</v>
      </c>
      <c r="E31" s="83" t="s">
        <v>223</v>
      </c>
      <c r="F31" s="81" t="s">
        <v>205</v>
      </c>
      <c r="G31" s="88">
        <v>3.4544999999999999</v>
      </c>
      <c r="H31" s="85"/>
      <c r="I31" s="86">
        <v>20040.919999999998</v>
      </c>
      <c r="J31" s="185">
        <f t="shared" si="2"/>
        <v>6605.47</v>
      </c>
      <c r="K31" s="189">
        <f t="shared" si="3"/>
        <v>22818.6</v>
      </c>
      <c r="L31" s="189"/>
      <c r="M31" s="138"/>
      <c r="N31" s="139"/>
      <c r="O31" s="139"/>
      <c r="S31" s="72"/>
      <c r="T31" s="72"/>
      <c r="U31" s="72"/>
      <c r="V31" s="72"/>
    </row>
    <row r="32" spans="1:22" s="63" customFormat="1" ht="22.5" x14ac:dyDescent="0.25">
      <c r="A32" s="87">
        <v>1.22</v>
      </c>
      <c r="B32" s="81" t="s">
        <v>38</v>
      </c>
      <c r="C32" s="80">
        <v>29.2</v>
      </c>
      <c r="D32" s="131" t="s">
        <v>233</v>
      </c>
      <c r="E32" s="83" t="s">
        <v>234</v>
      </c>
      <c r="F32" s="81" t="s">
        <v>205</v>
      </c>
      <c r="G32" s="88">
        <v>0.61250000000000004</v>
      </c>
      <c r="H32" s="85"/>
      <c r="I32" s="86">
        <v>4626.4799999999996</v>
      </c>
      <c r="J32" s="185">
        <f t="shared" si="2"/>
        <v>8600.34</v>
      </c>
      <c r="K32" s="189">
        <f t="shared" si="3"/>
        <v>5267.71</v>
      </c>
      <c r="L32" s="189"/>
      <c r="M32" s="138"/>
      <c r="N32" s="139"/>
      <c r="O32" s="139"/>
      <c r="S32" s="72"/>
      <c r="T32" s="72"/>
      <c r="U32" s="72"/>
      <c r="V32" s="72"/>
    </row>
    <row r="33" spans="1:22" s="63" customFormat="1" ht="22.5" x14ac:dyDescent="0.25">
      <c r="A33" s="87">
        <v>1.23</v>
      </c>
      <c r="B33" s="81" t="s">
        <v>38</v>
      </c>
      <c r="C33" s="80">
        <v>29.3</v>
      </c>
      <c r="D33" s="131" t="s">
        <v>235</v>
      </c>
      <c r="E33" s="83" t="s">
        <v>3433</v>
      </c>
      <c r="F33" s="81" t="s">
        <v>205</v>
      </c>
      <c r="G33" s="88">
        <v>0.65249999999999997</v>
      </c>
      <c r="H33" s="85"/>
      <c r="I33" s="86">
        <v>74.77</v>
      </c>
      <c r="J33" s="185">
        <f t="shared" si="2"/>
        <v>130.47</v>
      </c>
      <c r="K33" s="189">
        <f t="shared" si="3"/>
        <v>85.13</v>
      </c>
      <c r="L33" s="189"/>
      <c r="M33" s="138"/>
      <c r="N33" s="139"/>
      <c r="O33" s="139"/>
      <c r="S33" s="72"/>
      <c r="T33" s="72"/>
      <c r="U33" s="72"/>
      <c r="V33" s="72"/>
    </row>
    <row r="34" spans="1:22" s="63" customFormat="1" ht="22.5" x14ac:dyDescent="0.25">
      <c r="A34" s="87">
        <v>1.24</v>
      </c>
      <c r="B34" s="81" t="s">
        <v>38</v>
      </c>
      <c r="C34" s="80">
        <v>29.4</v>
      </c>
      <c r="D34" s="131" t="s">
        <v>224</v>
      </c>
      <c r="E34" s="83" t="s">
        <v>225</v>
      </c>
      <c r="F34" s="81" t="s">
        <v>226</v>
      </c>
      <c r="G34" s="88">
        <v>6.7199999999999996E-2</v>
      </c>
      <c r="H34" s="85"/>
      <c r="I34" s="86">
        <v>3317.04</v>
      </c>
      <c r="J34" s="185">
        <f t="shared" si="2"/>
        <v>56202.11</v>
      </c>
      <c r="K34" s="189">
        <f t="shared" si="3"/>
        <v>3776.78</v>
      </c>
      <c r="L34" s="189"/>
      <c r="M34" s="138"/>
      <c r="N34" s="139"/>
      <c r="O34" s="139"/>
      <c r="S34" s="72"/>
      <c r="T34" s="72"/>
      <c r="U34" s="72"/>
      <c r="V34" s="72"/>
    </row>
    <row r="35" spans="1:22" s="63" customFormat="1" ht="22.5" x14ac:dyDescent="0.25">
      <c r="A35" s="87">
        <v>1.25</v>
      </c>
      <c r="B35" s="81" t="s">
        <v>38</v>
      </c>
      <c r="C35" s="80">
        <v>29.5</v>
      </c>
      <c r="D35" s="131" t="s">
        <v>236</v>
      </c>
      <c r="E35" s="83" t="s">
        <v>237</v>
      </c>
      <c r="F35" s="81" t="s">
        <v>226</v>
      </c>
      <c r="G35" s="84">
        <v>8.4000000000000005E-2</v>
      </c>
      <c r="H35" s="85"/>
      <c r="I35" s="86">
        <v>4165.6099999999997</v>
      </c>
      <c r="J35" s="185">
        <f t="shared" si="2"/>
        <v>56463.85</v>
      </c>
      <c r="K35" s="189">
        <f t="shared" si="3"/>
        <v>4742.96</v>
      </c>
      <c r="L35" s="189"/>
      <c r="M35" s="138"/>
      <c r="N35" s="139"/>
      <c r="O35" s="139"/>
      <c r="S35" s="72"/>
      <c r="T35" s="72"/>
      <c r="U35" s="72"/>
      <c r="V35" s="72"/>
    </row>
    <row r="36" spans="1:22" s="63" customFormat="1" ht="22.5" x14ac:dyDescent="0.25">
      <c r="A36" s="87">
        <v>1.26</v>
      </c>
      <c r="B36" s="81" t="s">
        <v>38</v>
      </c>
      <c r="C36" s="80">
        <v>29.6</v>
      </c>
      <c r="D36" s="131" t="s">
        <v>227</v>
      </c>
      <c r="E36" s="83" t="s">
        <v>228</v>
      </c>
      <c r="F36" s="81" t="s">
        <v>226</v>
      </c>
      <c r="G36" s="88">
        <v>0.3458</v>
      </c>
      <c r="H36" s="85"/>
      <c r="I36" s="86">
        <v>16854.150000000001</v>
      </c>
      <c r="J36" s="185">
        <f t="shared" si="2"/>
        <v>55494.9</v>
      </c>
      <c r="K36" s="189">
        <f t="shared" si="3"/>
        <v>19190.14</v>
      </c>
      <c r="L36" s="189"/>
      <c r="M36" s="138"/>
      <c r="N36" s="139"/>
      <c r="O36" s="139"/>
      <c r="S36" s="72"/>
      <c r="T36" s="72"/>
      <c r="U36" s="72"/>
      <c r="V36" s="72"/>
    </row>
    <row r="37" spans="1:22" s="63" customFormat="1" ht="22.5" x14ac:dyDescent="0.25">
      <c r="A37" s="87">
        <v>1.27</v>
      </c>
      <c r="B37" s="81" t="s">
        <v>38</v>
      </c>
      <c r="C37" s="80">
        <v>29.7</v>
      </c>
      <c r="D37" s="131" t="s">
        <v>238</v>
      </c>
      <c r="E37" s="83" t="s">
        <v>239</v>
      </c>
      <c r="F37" s="81" t="s">
        <v>226</v>
      </c>
      <c r="G37" s="88">
        <v>0.1008</v>
      </c>
      <c r="H37" s="85"/>
      <c r="I37" s="86">
        <v>4912.95</v>
      </c>
      <c r="J37" s="185">
        <f t="shared" si="2"/>
        <v>55494.89</v>
      </c>
      <c r="K37" s="189">
        <f t="shared" si="3"/>
        <v>5593.88</v>
      </c>
      <c r="L37" s="189"/>
      <c r="M37" s="138"/>
      <c r="N37" s="139"/>
      <c r="O37" s="139"/>
      <c r="S37" s="72"/>
      <c r="T37" s="72"/>
      <c r="U37" s="72"/>
      <c r="V37" s="72"/>
    </row>
    <row r="38" spans="1:22" s="128" customFormat="1" ht="12.75" x14ac:dyDescent="0.25">
      <c r="A38" s="237"/>
      <c r="B38" s="125"/>
      <c r="C38" s="236"/>
      <c r="D38" s="77"/>
      <c r="E38" s="126" t="s">
        <v>3205</v>
      </c>
      <c r="F38" s="125"/>
      <c r="G38" s="240"/>
      <c r="H38" s="127"/>
      <c r="I38" s="78"/>
      <c r="J38" s="238"/>
      <c r="K38" s="239"/>
      <c r="L38" s="239"/>
      <c r="M38" s="79"/>
      <c r="N38" s="129"/>
      <c r="O38" s="129"/>
      <c r="S38" s="129"/>
      <c r="T38" s="129"/>
      <c r="U38" s="129"/>
      <c r="V38" s="129"/>
    </row>
    <row r="39" spans="1:22" s="63" customFormat="1" ht="15" x14ac:dyDescent="0.25">
      <c r="A39" s="87">
        <v>1.28</v>
      </c>
      <c r="B39" s="81" t="s">
        <v>38</v>
      </c>
      <c r="C39" s="82">
        <v>30</v>
      </c>
      <c r="D39" s="131" t="s">
        <v>229</v>
      </c>
      <c r="E39" s="83" t="s">
        <v>230</v>
      </c>
      <c r="F39" s="81" t="s">
        <v>196</v>
      </c>
      <c r="G39" s="84">
        <v>4.2999999999999997E-2</v>
      </c>
      <c r="H39" s="85"/>
      <c r="I39" s="86">
        <v>104244.49</v>
      </c>
      <c r="J39" s="185">
        <f t="shared" ref="J39:J46" si="4">ROUND($I39/$G39*$N$11,2)</f>
        <v>2760297.12</v>
      </c>
      <c r="K39" s="189">
        <f t="shared" ref="K39:K46" si="5">ROUND(G39*J39,2)</f>
        <v>118692.78</v>
      </c>
      <c r="L39" s="189"/>
      <c r="M39" s="138"/>
      <c r="N39" s="139"/>
      <c r="O39" s="139"/>
      <c r="S39" s="72"/>
      <c r="T39" s="72"/>
      <c r="U39" s="72"/>
      <c r="V39" s="72"/>
    </row>
    <row r="40" spans="1:22" s="63" customFormat="1" ht="22.5" x14ac:dyDescent="0.25">
      <c r="A40" s="87">
        <v>1.29</v>
      </c>
      <c r="B40" s="81" t="s">
        <v>38</v>
      </c>
      <c r="C40" s="80">
        <v>30.1</v>
      </c>
      <c r="D40" s="131" t="s">
        <v>222</v>
      </c>
      <c r="E40" s="83" t="s">
        <v>223</v>
      </c>
      <c r="F40" s="81" t="s">
        <v>205</v>
      </c>
      <c r="G40" s="84">
        <v>3.2480000000000002</v>
      </c>
      <c r="H40" s="85"/>
      <c r="I40" s="86">
        <v>18842.919999999998</v>
      </c>
      <c r="J40" s="185">
        <f t="shared" si="4"/>
        <v>6605.46</v>
      </c>
      <c r="K40" s="189">
        <f t="shared" si="5"/>
        <v>21454.53</v>
      </c>
      <c r="L40" s="189"/>
      <c r="M40" s="138"/>
      <c r="N40" s="139"/>
      <c r="O40" s="139"/>
      <c r="S40" s="72"/>
      <c r="T40" s="72"/>
      <c r="U40" s="72"/>
      <c r="V40" s="72"/>
    </row>
    <row r="41" spans="1:22" s="63" customFormat="1" ht="22.5" x14ac:dyDescent="0.25">
      <c r="A41" s="87">
        <v>1.3</v>
      </c>
      <c r="B41" s="81" t="s">
        <v>38</v>
      </c>
      <c r="C41" s="80">
        <v>30.2</v>
      </c>
      <c r="D41" s="131" t="s">
        <v>233</v>
      </c>
      <c r="E41" s="83" t="s">
        <v>234</v>
      </c>
      <c r="F41" s="81" t="s">
        <v>205</v>
      </c>
      <c r="G41" s="87">
        <v>1.1200000000000001</v>
      </c>
      <c r="H41" s="85"/>
      <c r="I41" s="86">
        <v>8459.7999999999993</v>
      </c>
      <c r="J41" s="185">
        <f t="shared" si="4"/>
        <v>8600.2900000000009</v>
      </c>
      <c r="K41" s="189">
        <f t="shared" si="5"/>
        <v>9632.32</v>
      </c>
      <c r="L41" s="189"/>
      <c r="M41" s="138"/>
      <c r="N41" s="139"/>
      <c r="O41" s="139"/>
      <c r="S41" s="72"/>
      <c r="T41" s="72"/>
      <c r="U41" s="72"/>
      <c r="V41" s="72"/>
    </row>
    <row r="42" spans="1:22" s="63" customFormat="1" ht="22.5" x14ac:dyDescent="0.25">
      <c r="A42" s="87">
        <v>1.31</v>
      </c>
      <c r="B42" s="81" t="s">
        <v>38</v>
      </c>
      <c r="C42" s="80">
        <v>30.3</v>
      </c>
      <c r="D42" s="131" t="s">
        <v>235</v>
      </c>
      <c r="E42" s="83" t="s">
        <v>3433</v>
      </c>
      <c r="F42" s="81" t="s">
        <v>205</v>
      </c>
      <c r="G42" s="87">
        <v>1.1599999999999999</v>
      </c>
      <c r="H42" s="85"/>
      <c r="I42" s="86">
        <v>133.02000000000001</v>
      </c>
      <c r="J42" s="185">
        <f t="shared" si="4"/>
        <v>130.57</v>
      </c>
      <c r="K42" s="189">
        <f t="shared" si="5"/>
        <v>151.46</v>
      </c>
      <c r="L42" s="189"/>
      <c r="M42" s="138"/>
      <c r="N42" s="139"/>
      <c r="O42" s="139"/>
      <c r="S42" s="72"/>
      <c r="T42" s="72"/>
      <c r="U42" s="72"/>
      <c r="V42" s="72"/>
    </row>
    <row r="43" spans="1:22" s="63" customFormat="1" ht="22.5" x14ac:dyDescent="0.25">
      <c r="A43" s="87">
        <v>1.32</v>
      </c>
      <c r="B43" s="81" t="s">
        <v>38</v>
      </c>
      <c r="C43" s="80">
        <v>30.4</v>
      </c>
      <c r="D43" s="131" t="s">
        <v>224</v>
      </c>
      <c r="E43" s="83" t="s">
        <v>225</v>
      </c>
      <c r="F43" s="81" t="s">
        <v>226</v>
      </c>
      <c r="G43" s="88">
        <v>4.0800000000000003E-2</v>
      </c>
      <c r="H43" s="85"/>
      <c r="I43" s="86">
        <v>2013.9</v>
      </c>
      <c r="J43" s="185">
        <f t="shared" si="4"/>
        <v>56201.63</v>
      </c>
      <c r="K43" s="189">
        <f t="shared" si="5"/>
        <v>2293.0300000000002</v>
      </c>
      <c r="L43" s="189"/>
      <c r="M43" s="138"/>
      <c r="N43" s="139"/>
      <c r="O43" s="139"/>
      <c r="S43" s="72"/>
      <c r="T43" s="72"/>
      <c r="U43" s="72"/>
      <c r="V43" s="72"/>
    </row>
    <row r="44" spans="1:22" s="63" customFormat="1" ht="22.5" x14ac:dyDescent="0.25">
      <c r="A44" s="87">
        <v>1.33</v>
      </c>
      <c r="B44" s="81" t="s">
        <v>38</v>
      </c>
      <c r="C44" s="80">
        <v>30.5</v>
      </c>
      <c r="D44" s="131" t="s">
        <v>236</v>
      </c>
      <c r="E44" s="83" t="s">
        <v>237</v>
      </c>
      <c r="F44" s="81" t="s">
        <v>226</v>
      </c>
      <c r="G44" s="84">
        <v>6.9000000000000006E-2</v>
      </c>
      <c r="H44" s="85"/>
      <c r="I44" s="86">
        <v>3421.82</v>
      </c>
      <c r="J44" s="185">
        <f t="shared" si="4"/>
        <v>56464.99</v>
      </c>
      <c r="K44" s="189">
        <f t="shared" si="5"/>
        <v>3896.08</v>
      </c>
      <c r="L44" s="189"/>
      <c r="M44" s="138"/>
      <c r="N44" s="139"/>
      <c r="O44" s="139"/>
      <c r="S44" s="72"/>
      <c r="T44" s="72"/>
      <c r="U44" s="72"/>
      <c r="V44" s="72"/>
    </row>
    <row r="45" spans="1:22" s="63" customFormat="1" ht="22.5" x14ac:dyDescent="0.25">
      <c r="A45" s="87">
        <v>1.34</v>
      </c>
      <c r="B45" s="81" t="s">
        <v>38</v>
      </c>
      <c r="C45" s="80">
        <v>30.6</v>
      </c>
      <c r="D45" s="131" t="s">
        <v>227</v>
      </c>
      <c r="E45" s="83" t="s">
        <v>228</v>
      </c>
      <c r="F45" s="81" t="s">
        <v>226</v>
      </c>
      <c r="G45" s="87">
        <v>0.15</v>
      </c>
      <c r="H45" s="85"/>
      <c r="I45" s="86">
        <v>7310.9</v>
      </c>
      <c r="J45" s="185">
        <f t="shared" si="4"/>
        <v>55494.6</v>
      </c>
      <c r="K45" s="189">
        <f t="shared" si="5"/>
        <v>8324.19</v>
      </c>
      <c r="L45" s="189"/>
      <c r="M45" s="138"/>
      <c r="N45" s="139"/>
      <c r="O45" s="139"/>
      <c r="S45" s="72"/>
      <c r="T45" s="72"/>
      <c r="U45" s="72"/>
      <c r="V45" s="72"/>
    </row>
    <row r="46" spans="1:22" s="63" customFormat="1" ht="22.5" x14ac:dyDescent="0.25">
      <c r="A46" s="87">
        <v>1.35</v>
      </c>
      <c r="B46" s="81" t="s">
        <v>38</v>
      </c>
      <c r="C46" s="80">
        <v>30.7</v>
      </c>
      <c r="D46" s="131" t="s">
        <v>238</v>
      </c>
      <c r="E46" s="83" t="s">
        <v>239</v>
      </c>
      <c r="F46" s="81" t="s">
        <v>226</v>
      </c>
      <c r="G46" s="88">
        <v>4.3200000000000002E-2</v>
      </c>
      <c r="H46" s="85"/>
      <c r="I46" s="86">
        <v>2105.54</v>
      </c>
      <c r="J46" s="185">
        <f t="shared" si="4"/>
        <v>55494.63</v>
      </c>
      <c r="K46" s="189">
        <f t="shared" si="5"/>
        <v>2397.37</v>
      </c>
      <c r="L46" s="189"/>
      <c r="M46" s="138"/>
      <c r="N46" s="139"/>
      <c r="O46" s="139"/>
      <c r="S46" s="72"/>
      <c r="T46" s="72"/>
      <c r="U46" s="72"/>
      <c r="V46" s="72"/>
    </row>
    <row r="47" spans="1:22" s="128" customFormat="1" ht="12.75" x14ac:dyDescent="0.25">
      <c r="A47" s="237"/>
      <c r="B47" s="125"/>
      <c r="C47" s="236"/>
      <c r="D47" s="77"/>
      <c r="E47" s="126" t="s">
        <v>3206</v>
      </c>
      <c r="F47" s="125"/>
      <c r="G47" s="240"/>
      <c r="H47" s="127"/>
      <c r="I47" s="78"/>
      <c r="J47" s="238"/>
      <c r="K47" s="239"/>
      <c r="L47" s="239"/>
      <c r="M47" s="79"/>
      <c r="N47" s="129"/>
      <c r="O47" s="129"/>
      <c r="S47" s="129"/>
      <c r="T47" s="129"/>
      <c r="U47" s="129"/>
      <c r="V47" s="129"/>
    </row>
    <row r="48" spans="1:22" s="63" customFormat="1" ht="22.5" x14ac:dyDescent="0.25">
      <c r="A48" s="87">
        <v>1.36</v>
      </c>
      <c r="B48" s="81" t="s">
        <v>38</v>
      </c>
      <c r="C48" s="82">
        <v>31</v>
      </c>
      <c r="D48" s="131" t="s">
        <v>240</v>
      </c>
      <c r="E48" s="83" t="s">
        <v>241</v>
      </c>
      <c r="F48" s="81" t="s">
        <v>205</v>
      </c>
      <c r="G48" s="82">
        <v>4</v>
      </c>
      <c r="H48" s="85"/>
      <c r="I48" s="86">
        <v>16024.37</v>
      </c>
      <c r="J48" s="185">
        <f>ROUND($I48/$G48*$N$11,2)</f>
        <v>4561.34</v>
      </c>
      <c r="K48" s="189">
        <f>ROUND(G48*J48,2)</f>
        <v>18245.36</v>
      </c>
      <c r="L48" s="189"/>
      <c r="M48" s="138"/>
      <c r="N48" s="139"/>
      <c r="O48" s="139"/>
      <c r="S48" s="72"/>
      <c r="T48" s="72"/>
      <c r="U48" s="72"/>
      <c r="V48" s="72"/>
    </row>
    <row r="49" spans="1:22" s="63" customFormat="1" ht="22.5" x14ac:dyDescent="0.25">
      <c r="A49" s="87">
        <v>1.37</v>
      </c>
      <c r="B49" s="81" t="s">
        <v>38</v>
      </c>
      <c r="C49" s="80">
        <v>31.1</v>
      </c>
      <c r="D49" s="131" t="s">
        <v>242</v>
      </c>
      <c r="E49" s="83" t="s">
        <v>243</v>
      </c>
      <c r="F49" s="81" t="s">
        <v>226</v>
      </c>
      <c r="G49" s="89">
        <v>-3.1199999999999999E-3</v>
      </c>
      <c r="H49" s="85"/>
      <c r="I49" s="86">
        <v>-148.74</v>
      </c>
      <c r="J49" s="185">
        <f>ROUND($I49/$G49*$N$11,2)</f>
        <v>54280.57</v>
      </c>
      <c r="K49" s="189">
        <f>ROUND(G49*J49,2)</f>
        <v>-169.36</v>
      </c>
      <c r="L49" s="189"/>
      <c r="M49" s="138"/>
      <c r="N49" s="139"/>
      <c r="O49" s="139"/>
      <c r="S49" s="72"/>
      <c r="T49" s="72"/>
      <c r="U49" s="72"/>
      <c r="V49" s="72"/>
    </row>
    <row r="50" spans="1:22" s="63" customFormat="1" ht="22.5" x14ac:dyDescent="0.25">
      <c r="A50" s="87">
        <v>1.38</v>
      </c>
      <c r="B50" s="81" t="s">
        <v>38</v>
      </c>
      <c r="C50" s="80">
        <v>31.2</v>
      </c>
      <c r="D50" s="131" t="s">
        <v>244</v>
      </c>
      <c r="E50" s="83" t="s">
        <v>245</v>
      </c>
      <c r="F50" s="81" t="s">
        <v>226</v>
      </c>
      <c r="G50" s="88">
        <v>5.04E-2</v>
      </c>
      <c r="H50" s="85"/>
      <c r="I50" s="86">
        <v>3945.92</v>
      </c>
      <c r="J50" s="185">
        <f>ROUND($I50/$G50*$N$11,2)</f>
        <v>89143.34</v>
      </c>
      <c r="K50" s="189">
        <f>ROUND(G50*J50,2)</f>
        <v>4492.82</v>
      </c>
      <c r="L50" s="189"/>
      <c r="M50" s="138"/>
      <c r="N50" s="139"/>
      <c r="O50" s="139"/>
      <c r="S50" s="72"/>
      <c r="T50" s="72"/>
      <c r="U50" s="72"/>
      <c r="V50" s="72"/>
    </row>
    <row r="51" spans="1:22" s="63" customFormat="1" ht="22.5" x14ac:dyDescent="0.25">
      <c r="A51" s="87">
        <v>1.39</v>
      </c>
      <c r="B51" s="81" t="s">
        <v>38</v>
      </c>
      <c r="C51" s="80">
        <v>31.3</v>
      </c>
      <c r="D51" s="131" t="s">
        <v>246</v>
      </c>
      <c r="E51" s="83" t="s">
        <v>247</v>
      </c>
      <c r="F51" s="81" t="s">
        <v>205</v>
      </c>
      <c r="G51" s="87">
        <v>4.04</v>
      </c>
      <c r="H51" s="85"/>
      <c r="I51" s="86">
        <v>22684.23</v>
      </c>
      <c r="J51" s="185">
        <f>ROUND($I51/$G51*$N$11,2)</f>
        <v>6393.13</v>
      </c>
      <c r="K51" s="189">
        <f>ROUND(G51*J51,2)</f>
        <v>25828.25</v>
      </c>
      <c r="L51" s="189"/>
      <c r="M51" s="138"/>
      <c r="N51" s="139"/>
      <c r="O51" s="139"/>
      <c r="S51" s="72"/>
      <c r="T51" s="72"/>
      <c r="U51" s="72"/>
      <c r="V51" s="72"/>
    </row>
    <row r="52" spans="1:22" s="63" customFormat="1" ht="22.5" x14ac:dyDescent="0.25">
      <c r="A52" s="87">
        <v>1.4</v>
      </c>
      <c r="B52" s="81" t="s">
        <v>38</v>
      </c>
      <c r="C52" s="80">
        <v>31.4</v>
      </c>
      <c r="D52" s="131" t="s">
        <v>248</v>
      </c>
      <c r="E52" s="83" t="s">
        <v>249</v>
      </c>
      <c r="F52" s="81" t="s">
        <v>226</v>
      </c>
      <c r="G52" s="84">
        <v>8.2000000000000003E-2</v>
      </c>
      <c r="H52" s="85"/>
      <c r="I52" s="86">
        <v>1849.44</v>
      </c>
      <c r="J52" s="185">
        <f>ROUND($I52/$G52*$N$11,2)</f>
        <v>25680.15</v>
      </c>
      <c r="K52" s="189">
        <f>ROUND(G52*J52,2)</f>
        <v>2105.77</v>
      </c>
      <c r="L52" s="189"/>
      <c r="M52" s="138"/>
      <c r="N52" s="139"/>
      <c r="O52" s="139"/>
      <c r="S52" s="72"/>
      <c r="T52" s="72"/>
      <c r="U52" s="72"/>
      <c r="V52" s="72"/>
    </row>
    <row r="53" spans="1:22" s="128" customFormat="1" ht="12.75" x14ac:dyDescent="0.25">
      <c r="A53" s="237"/>
      <c r="B53" s="125"/>
      <c r="C53" s="236"/>
      <c r="D53" s="77"/>
      <c r="E53" s="126" t="s">
        <v>3207</v>
      </c>
      <c r="F53" s="125"/>
      <c r="G53" s="242"/>
      <c r="H53" s="127"/>
      <c r="I53" s="78"/>
      <c r="J53" s="238"/>
      <c r="K53" s="239"/>
      <c r="L53" s="239"/>
      <c r="M53" s="79"/>
      <c r="N53" s="129"/>
      <c r="O53" s="129"/>
      <c r="S53" s="129"/>
      <c r="T53" s="129"/>
      <c r="U53" s="129"/>
      <c r="V53" s="129"/>
    </row>
    <row r="54" spans="1:22" s="63" customFormat="1" ht="22.5" x14ac:dyDescent="0.25">
      <c r="A54" s="87">
        <v>1.41</v>
      </c>
      <c r="B54" s="81" t="s">
        <v>38</v>
      </c>
      <c r="C54" s="82">
        <v>33</v>
      </c>
      <c r="D54" s="131" t="s">
        <v>250</v>
      </c>
      <c r="E54" s="83" t="s">
        <v>251</v>
      </c>
      <c r="F54" s="81" t="s">
        <v>216</v>
      </c>
      <c r="G54" s="87">
        <v>5.08</v>
      </c>
      <c r="H54" s="85"/>
      <c r="I54" s="86">
        <v>26170.9</v>
      </c>
      <c r="J54" s="185">
        <f t="shared" ref="J54:J59" si="6">ROUND($I54/$G54*$N$11,2)</f>
        <v>5865.78</v>
      </c>
      <c r="K54" s="189">
        <f t="shared" ref="K54:K59" si="7">ROUND(G54*J54,2)</f>
        <v>29798.16</v>
      </c>
      <c r="L54" s="189"/>
      <c r="M54" s="138"/>
      <c r="N54" s="139"/>
      <c r="O54" s="139"/>
      <c r="S54" s="72"/>
      <c r="T54" s="72"/>
      <c r="U54" s="72"/>
      <c r="V54" s="72"/>
    </row>
    <row r="55" spans="1:22" s="63" customFormat="1" ht="22.5" x14ac:dyDescent="0.25">
      <c r="A55" s="87">
        <v>1.42</v>
      </c>
      <c r="B55" s="81" t="s">
        <v>38</v>
      </c>
      <c r="C55" s="82">
        <v>34</v>
      </c>
      <c r="D55" s="131" t="s">
        <v>252</v>
      </c>
      <c r="E55" s="83" t="s">
        <v>3434</v>
      </c>
      <c r="F55" s="81" t="s">
        <v>216</v>
      </c>
      <c r="G55" s="87">
        <v>-5.08</v>
      </c>
      <c r="H55" s="85"/>
      <c r="I55" s="86">
        <v>-9932.16</v>
      </c>
      <c r="J55" s="185">
        <f t="shared" si="6"/>
        <v>2226.13</v>
      </c>
      <c r="K55" s="189">
        <f t="shared" si="7"/>
        <v>-11308.74</v>
      </c>
      <c r="L55" s="189"/>
      <c r="M55" s="138"/>
      <c r="N55" s="139"/>
      <c r="O55" s="139"/>
      <c r="S55" s="72"/>
      <c r="T55" s="72"/>
      <c r="U55" s="72"/>
      <c r="V55" s="72"/>
    </row>
    <row r="56" spans="1:22" s="63" customFormat="1" ht="22.5" x14ac:dyDescent="0.25">
      <c r="A56" s="87">
        <v>1.43</v>
      </c>
      <c r="B56" s="81" t="s">
        <v>38</v>
      </c>
      <c r="C56" s="80">
        <v>34.1</v>
      </c>
      <c r="D56" s="131" t="s">
        <v>253</v>
      </c>
      <c r="E56" s="83" t="s">
        <v>4209</v>
      </c>
      <c r="F56" s="81" t="s">
        <v>219</v>
      </c>
      <c r="G56" s="82">
        <v>508</v>
      </c>
      <c r="H56" s="85"/>
      <c r="I56" s="86">
        <f>16239.74</f>
        <v>16239.74</v>
      </c>
      <c r="J56" s="185">
        <f t="shared" si="6"/>
        <v>36.4</v>
      </c>
      <c r="K56" s="189">
        <f t="shared" si="7"/>
        <v>18491.2</v>
      </c>
      <c r="L56" s="189"/>
      <c r="M56" s="138"/>
      <c r="N56" s="139"/>
      <c r="O56" s="139"/>
      <c r="S56" s="72"/>
      <c r="T56" s="72"/>
      <c r="U56" s="72"/>
      <c r="V56" s="72"/>
    </row>
    <row r="57" spans="1:22" s="63" customFormat="1" ht="22.5" x14ac:dyDescent="0.25">
      <c r="A57" s="87">
        <v>1.44</v>
      </c>
      <c r="B57" s="81" t="s">
        <v>38</v>
      </c>
      <c r="C57" s="82">
        <v>35</v>
      </c>
      <c r="D57" s="131" t="s">
        <v>254</v>
      </c>
      <c r="E57" s="83" t="s">
        <v>255</v>
      </c>
      <c r="F57" s="81" t="s">
        <v>205</v>
      </c>
      <c r="G57" s="84">
        <v>7.1999999999999995E-2</v>
      </c>
      <c r="H57" s="85"/>
      <c r="I57" s="86">
        <v>1600.47</v>
      </c>
      <c r="J57" s="185">
        <f t="shared" si="6"/>
        <v>25309.65</v>
      </c>
      <c r="K57" s="189">
        <f t="shared" si="7"/>
        <v>1822.29</v>
      </c>
      <c r="L57" s="189"/>
      <c r="M57" s="138"/>
      <c r="N57" s="139"/>
      <c r="O57" s="139"/>
      <c r="S57" s="72"/>
      <c r="T57" s="72"/>
      <c r="U57" s="72"/>
      <c r="V57" s="72"/>
    </row>
    <row r="58" spans="1:22" s="63" customFormat="1" ht="22.5" x14ac:dyDescent="0.25">
      <c r="A58" s="87">
        <v>1.45</v>
      </c>
      <c r="B58" s="81" t="s">
        <v>38</v>
      </c>
      <c r="C58" s="82">
        <v>36</v>
      </c>
      <c r="D58" s="131" t="s">
        <v>256</v>
      </c>
      <c r="E58" s="83" t="s">
        <v>257</v>
      </c>
      <c r="F58" s="81" t="s">
        <v>219</v>
      </c>
      <c r="G58" s="82">
        <v>2</v>
      </c>
      <c r="H58" s="85"/>
      <c r="I58" s="86">
        <v>854.43</v>
      </c>
      <c r="J58" s="185">
        <f t="shared" si="6"/>
        <v>486.43</v>
      </c>
      <c r="K58" s="189">
        <f t="shared" si="7"/>
        <v>972.86</v>
      </c>
      <c r="L58" s="189"/>
      <c r="M58" s="138"/>
      <c r="N58" s="139"/>
      <c r="O58" s="139"/>
      <c r="S58" s="72"/>
      <c r="T58" s="72"/>
      <c r="U58" s="72"/>
      <c r="V58" s="72"/>
    </row>
    <row r="59" spans="1:22" s="63" customFormat="1" ht="22.5" x14ac:dyDescent="0.25">
      <c r="A59" s="87">
        <v>1.46</v>
      </c>
      <c r="B59" s="81" t="s">
        <v>38</v>
      </c>
      <c r="C59" s="80">
        <v>36.1</v>
      </c>
      <c r="D59" s="131" t="s">
        <v>258</v>
      </c>
      <c r="E59" s="83" t="s">
        <v>259</v>
      </c>
      <c r="F59" s="81" t="s">
        <v>205</v>
      </c>
      <c r="G59" s="89">
        <v>7.1120000000000003E-2</v>
      </c>
      <c r="H59" s="85"/>
      <c r="I59" s="86">
        <v>1225.6199999999999</v>
      </c>
      <c r="J59" s="185">
        <f t="shared" si="6"/>
        <v>19621.64</v>
      </c>
      <c r="K59" s="189">
        <f t="shared" si="7"/>
        <v>1395.49</v>
      </c>
      <c r="L59" s="189"/>
      <c r="M59" s="138"/>
      <c r="N59" s="139"/>
      <c r="O59" s="139"/>
      <c r="S59" s="72"/>
      <c r="T59" s="72"/>
      <c r="U59" s="72"/>
      <c r="V59" s="72"/>
    </row>
    <row r="60" spans="1:22" s="128" customFormat="1" ht="12.75" x14ac:dyDescent="0.25">
      <c r="A60" s="237"/>
      <c r="B60" s="125"/>
      <c r="C60" s="236"/>
      <c r="D60" s="77"/>
      <c r="E60" s="126" t="s">
        <v>3208</v>
      </c>
      <c r="F60" s="125"/>
      <c r="G60" s="243"/>
      <c r="H60" s="127"/>
      <c r="I60" s="78"/>
      <c r="J60" s="238"/>
      <c r="K60" s="239"/>
      <c r="L60" s="239"/>
      <c r="M60" s="79"/>
      <c r="N60" s="129"/>
      <c r="O60" s="129"/>
      <c r="S60" s="129"/>
      <c r="T60" s="129"/>
      <c r="U60" s="129"/>
      <c r="V60" s="129"/>
    </row>
    <row r="61" spans="1:22" s="128" customFormat="1" ht="12.75" x14ac:dyDescent="0.25">
      <c r="A61" s="237"/>
      <c r="B61" s="125"/>
      <c r="C61" s="236"/>
      <c r="D61" s="77"/>
      <c r="E61" s="126" t="s">
        <v>3209</v>
      </c>
      <c r="F61" s="125"/>
      <c r="G61" s="243"/>
      <c r="H61" s="127"/>
      <c r="I61" s="78"/>
      <c r="J61" s="238"/>
      <c r="K61" s="239"/>
      <c r="L61" s="239"/>
      <c r="M61" s="79"/>
      <c r="N61" s="129"/>
      <c r="O61" s="129"/>
      <c r="S61" s="129"/>
      <c r="T61" s="129"/>
      <c r="U61" s="129"/>
      <c r="V61" s="129"/>
    </row>
    <row r="62" spans="1:22" s="63" customFormat="1" ht="22.5" x14ac:dyDescent="0.25">
      <c r="A62" s="87">
        <v>1.47</v>
      </c>
      <c r="B62" s="81" t="s">
        <v>38</v>
      </c>
      <c r="C62" s="82">
        <v>38</v>
      </c>
      <c r="D62" s="131" t="s">
        <v>260</v>
      </c>
      <c r="E62" s="83" t="s">
        <v>261</v>
      </c>
      <c r="F62" s="81" t="s">
        <v>207</v>
      </c>
      <c r="G62" s="305">
        <v>2.0735000000000001</v>
      </c>
      <c r="H62" s="85"/>
      <c r="I62" s="306">
        <v>134137.51</v>
      </c>
      <c r="J62" s="185">
        <f t="shared" ref="J62:J78" si="8">ROUND($I62/$G62*$N$11,2)</f>
        <v>73657.570000000007</v>
      </c>
      <c r="K62" s="189">
        <f t="shared" ref="K62:K78" si="9">ROUND(G62*J62,2)</f>
        <v>152728.97</v>
      </c>
      <c r="L62" s="189"/>
      <c r="M62" s="138"/>
      <c r="N62" s="139"/>
      <c r="O62" s="139"/>
      <c r="S62" s="72"/>
      <c r="T62" s="72"/>
      <c r="U62" s="72"/>
      <c r="V62" s="72"/>
    </row>
    <row r="63" spans="1:22" s="63" customFormat="1" ht="22.5" x14ac:dyDescent="0.25">
      <c r="A63" s="87">
        <v>1.48</v>
      </c>
      <c r="B63" s="81" t="s">
        <v>38</v>
      </c>
      <c r="C63" s="80">
        <v>38.1</v>
      </c>
      <c r="D63" s="131" t="s">
        <v>242</v>
      </c>
      <c r="E63" s="83" t="s">
        <v>243</v>
      </c>
      <c r="F63" s="81" t="s">
        <v>226</v>
      </c>
      <c r="G63" s="304">
        <v>-6.4645999999999995E-2</v>
      </c>
      <c r="H63" s="85"/>
      <c r="I63" s="306">
        <v>-3081.09</v>
      </c>
      <c r="J63" s="185">
        <f t="shared" si="8"/>
        <v>54266.76</v>
      </c>
      <c r="K63" s="189">
        <f t="shared" si="9"/>
        <v>-3508.13</v>
      </c>
      <c r="L63" s="189"/>
      <c r="M63" s="138"/>
      <c r="N63" s="139"/>
      <c r="O63" s="139"/>
      <c r="S63" s="72"/>
      <c r="T63" s="72"/>
      <c r="U63" s="72"/>
      <c r="V63" s="72"/>
    </row>
    <row r="64" spans="1:22" s="63" customFormat="1" ht="22.5" x14ac:dyDescent="0.25">
      <c r="A64" s="87">
        <v>1.49</v>
      </c>
      <c r="B64" s="81" t="s">
        <v>38</v>
      </c>
      <c r="C64" s="80">
        <v>38.200000000000003</v>
      </c>
      <c r="D64" s="131" t="s">
        <v>244</v>
      </c>
      <c r="E64" s="83" t="s">
        <v>245</v>
      </c>
      <c r="F64" s="81" t="s">
        <v>226</v>
      </c>
      <c r="G64" s="305">
        <v>0.30730000000000002</v>
      </c>
      <c r="H64" s="85"/>
      <c r="I64" s="306">
        <v>24059.38</v>
      </c>
      <c r="J64" s="185">
        <f t="shared" si="8"/>
        <v>89144.19</v>
      </c>
      <c r="K64" s="189">
        <f t="shared" si="9"/>
        <v>27394.01</v>
      </c>
      <c r="L64" s="189"/>
      <c r="M64" s="138"/>
      <c r="N64" s="139"/>
      <c r="O64" s="139"/>
      <c r="S64" s="72"/>
      <c r="T64" s="72"/>
      <c r="U64" s="72"/>
      <c r="V64" s="72"/>
    </row>
    <row r="65" spans="1:22" s="63" customFormat="1" ht="22.5" x14ac:dyDescent="0.25">
      <c r="A65" s="87">
        <v>1.5</v>
      </c>
      <c r="B65" s="81" t="s">
        <v>38</v>
      </c>
      <c r="C65" s="80">
        <v>38.299999999999997</v>
      </c>
      <c r="D65" s="131" t="s">
        <v>262</v>
      </c>
      <c r="E65" s="83" t="s">
        <v>263</v>
      </c>
      <c r="F65" s="81" t="s">
        <v>205</v>
      </c>
      <c r="G65" s="305">
        <v>20.942599999999999</v>
      </c>
      <c r="H65" s="85"/>
      <c r="I65" s="306">
        <v>127796.96</v>
      </c>
      <c r="J65" s="185">
        <f t="shared" si="8"/>
        <v>6948.02</v>
      </c>
      <c r="K65" s="189">
        <f t="shared" si="9"/>
        <v>145509.6</v>
      </c>
      <c r="L65" s="189"/>
      <c r="M65" s="138"/>
      <c r="N65" s="139"/>
      <c r="O65" s="139"/>
      <c r="S65" s="72"/>
      <c r="T65" s="72"/>
      <c r="U65" s="72"/>
      <c r="V65" s="72"/>
    </row>
    <row r="66" spans="1:22" s="63" customFormat="1" ht="22.5" x14ac:dyDescent="0.25">
      <c r="A66" s="87">
        <v>1.51</v>
      </c>
      <c r="B66" s="81" t="s">
        <v>38</v>
      </c>
      <c r="C66" s="80">
        <v>38.4</v>
      </c>
      <c r="D66" s="131" t="s">
        <v>248</v>
      </c>
      <c r="E66" s="83" t="s">
        <v>249</v>
      </c>
      <c r="F66" s="81" t="s">
        <v>226</v>
      </c>
      <c r="G66" s="304">
        <v>0.43971399999999999</v>
      </c>
      <c r="H66" s="85"/>
      <c r="I66" s="306">
        <v>9917.36</v>
      </c>
      <c r="J66" s="185">
        <f t="shared" si="8"/>
        <v>25680.12</v>
      </c>
      <c r="K66" s="189">
        <f t="shared" si="9"/>
        <v>11291.91</v>
      </c>
      <c r="L66" s="189"/>
      <c r="M66" s="138"/>
      <c r="N66" s="139"/>
      <c r="O66" s="139"/>
      <c r="S66" s="72"/>
      <c r="T66" s="72"/>
      <c r="U66" s="72"/>
      <c r="V66" s="72"/>
    </row>
    <row r="67" spans="1:22" s="63" customFormat="1" ht="22.5" x14ac:dyDescent="0.25">
      <c r="A67" s="87">
        <v>1.52</v>
      </c>
      <c r="B67" s="81" t="s">
        <v>38</v>
      </c>
      <c r="C67" s="82">
        <v>39</v>
      </c>
      <c r="D67" s="131" t="s">
        <v>264</v>
      </c>
      <c r="E67" s="83" t="s">
        <v>265</v>
      </c>
      <c r="F67" s="81" t="s">
        <v>226</v>
      </c>
      <c r="G67" s="88">
        <v>0.96079999999999999</v>
      </c>
      <c r="H67" s="85"/>
      <c r="I67" s="86">
        <v>49626.23</v>
      </c>
      <c r="J67" s="185">
        <f t="shared" si="8"/>
        <v>58809.77</v>
      </c>
      <c r="K67" s="189">
        <f t="shared" si="9"/>
        <v>56504.43</v>
      </c>
      <c r="L67" s="189"/>
      <c r="M67" s="138"/>
      <c r="N67" s="139"/>
      <c r="O67" s="139"/>
      <c r="S67" s="72"/>
      <c r="T67" s="72"/>
      <c r="U67" s="72"/>
      <c r="V67" s="72"/>
    </row>
    <row r="68" spans="1:22" s="63" customFormat="1" ht="33.75" x14ac:dyDescent="0.25">
      <c r="A68" s="87">
        <v>1.53</v>
      </c>
      <c r="B68" s="81" t="s">
        <v>38</v>
      </c>
      <c r="C68" s="80">
        <v>39.1</v>
      </c>
      <c r="D68" s="131" t="s">
        <v>266</v>
      </c>
      <c r="E68" s="83" t="s">
        <v>267</v>
      </c>
      <c r="F68" s="81" t="s">
        <v>226</v>
      </c>
      <c r="G68" s="88">
        <v>0.86560000000000004</v>
      </c>
      <c r="H68" s="85"/>
      <c r="I68" s="86">
        <v>82848.800000000003</v>
      </c>
      <c r="J68" s="185">
        <f t="shared" si="8"/>
        <v>108978.33</v>
      </c>
      <c r="K68" s="189">
        <f t="shared" si="9"/>
        <v>94331.64</v>
      </c>
      <c r="L68" s="189"/>
      <c r="M68" s="138"/>
      <c r="N68" s="139"/>
      <c r="O68" s="139"/>
      <c r="S68" s="72"/>
      <c r="T68" s="72"/>
      <c r="U68" s="72"/>
      <c r="V68" s="72"/>
    </row>
    <row r="69" spans="1:22" s="63" customFormat="1" ht="33.75" x14ac:dyDescent="0.25">
      <c r="A69" s="87">
        <v>1.54</v>
      </c>
      <c r="B69" s="81" t="s">
        <v>38</v>
      </c>
      <c r="C69" s="80">
        <v>39.200000000000003</v>
      </c>
      <c r="D69" s="131" t="s">
        <v>268</v>
      </c>
      <c r="E69" s="83" t="s">
        <v>269</v>
      </c>
      <c r="F69" s="81" t="s">
        <v>226</v>
      </c>
      <c r="G69" s="88">
        <v>9.7199999999999995E-2</v>
      </c>
      <c r="H69" s="85"/>
      <c r="I69" s="86">
        <v>8104.51</v>
      </c>
      <c r="J69" s="185">
        <f t="shared" si="8"/>
        <v>94936.16</v>
      </c>
      <c r="K69" s="189">
        <f t="shared" si="9"/>
        <v>9227.7900000000009</v>
      </c>
      <c r="L69" s="189"/>
      <c r="M69" s="138"/>
      <c r="N69" s="139"/>
      <c r="O69" s="139"/>
      <c r="S69" s="72"/>
      <c r="T69" s="72"/>
      <c r="U69" s="72"/>
      <c r="V69" s="72"/>
    </row>
    <row r="70" spans="1:22" s="63" customFormat="1" ht="22.5" x14ac:dyDescent="0.25">
      <c r="A70" s="87">
        <v>1.55</v>
      </c>
      <c r="B70" s="81" t="s">
        <v>38</v>
      </c>
      <c r="C70" s="82">
        <v>40</v>
      </c>
      <c r="D70" s="131" t="s">
        <v>250</v>
      </c>
      <c r="E70" s="83" t="s">
        <v>251</v>
      </c>
      <c r="F70" s="81" t="s">
        <v>216</v>
      </c>
      <c r="G70" s="307">
        <v>4.99</v>
      </c>
      <c r="H70" s="85"/>
      <c r="I70" s="306">
        <v>25707.75</v>
      </c>
      <c r="J70" s="185">
        <f t="shared" si="8"/>
        <v>5865.9</v>
      </c>
      <c r="K70" s="189">
        <f t="shared" si="9"/>
        <v>29270.84</v>
      </c>
      <c r="L70" s="189"/>
      <c r="M70" s="138"/>
      <c r="N70" s="139"/>
      <c r="O70" s="139"/>
      <c r="S70" s="72"/>
      <c r="T70" s="72"/>
      <c r="U70" s="72"/>
      <c r="V70" s="72"/>
    </row>
    <row r="71" spans="1:22" s="63" customFormat="1" ht="22.5" x14ac:dyDescent="0.25">
      <c r="A71" s="87">
        <v>1.56</v>
      </c>
      <c r="B71" s="81" t="s">
        <v>38</v>
      </c>
      <c r="C71" s="82">
        <v>41</v>
      </c>
      <c r="D71" s="131" t="s">
        <v>252</v>
      </c>
      <c r="E71" s="83" t="s">
        <v>3434</v>
      </c>
      <c r="F71" s="81" t="s">
        <v>216</v>
      </c>
      <c r="G71" s="307">
        <v>-4.99</v>
      </c>
      <c r="H71" s="85"/>
      <c r="I71" s="306">
        <v>-9756.2000000000007</v>
      </c>
      <c r="J71" s="185">
        <f t="shared" si="8"/>
        <v>2226.13</v>
      </c>
      <c r="K71" s="189">
        <f t="shared" si="9"/>
        <v>-11108.39</v>
      </c>
      <c r="L71" s="189"/>
      <c r="M71" s="138"/>
      <c r="N71" s="139"/>
      <c r="O71" s="139"/>
      <c r="S71" s="72"/>
      <c r="T71" s="72"/>
      <c r="U71" s="72"/>
      <c r="V71" s="72"/>
    </row>
    <row r="72" spans="1:22" s="63" customFormat="1" ht="22.5" x14ac:dyDescent="0.25">
      <c r="A72" s="87">
        <v>1.57</v>
      </c>
      <c r="B72" s="81" t="s">
        <v>38</v>
      </c>
      <c r="C72" s="80">
        <v>41.1</v>
      </c>
      <c r="D72" s="131" t="s">
        <v>253</v>
      </c>
      <c r="E72" s="83" t="s">
        <v>4209</v>
      </c>
      <c r="F72" s="81" t="s">
        <v>219</v>
      </c>
      <c r="G72" s="308">
        <v>499</v>
      </c>
      <c r="H72" s="85"/>
      <c r="I72" s="306">
        <f>15952.03</f>
        <v>15952.03</v>
      </c>
      <c r="J72" s="185">
        <f t="shared" si="8"/>
        <v>36.4</v>
      </c>
      <c r="K72" s="189">
        <f t="shared" si="9"/>
        <v>18163.599999999999</v>
      </c>
      <c r="L72" s="189"/>
      <c r="M72" s="138"/>
      <c r="N72" s="139"/>
      <c r="O72" s="139"/>
      <c r="S72" s="72"/>
      <c r="T72" s="72"/>
      <c r="U72" s="72"/>
      <c r="V72" s="72"/>
    </row>
    <row r="73" spans="1:22" s="63" customFormat="1" ht="22.5" x14ac:dyDescent="0.25">
      <c r="A73" s="87">
        <v>1.58</v>
      </c>
      <c r="B73" s="81" t="s">
        <v>38</v>
      </c>
      <c r="C73" s="80">
        <v>41.2</v>
      </c>
      <c r="D73" s="131" t="s">
        <v>256</v>
      </c>
      <c r="E73" s="83" t="s">
        <v>257</v>
      </c>
      <c r="F73" s="81" t="s">
        <v>219</v>
      </c>
      <c r="G73" s="308">
        <v>8</v>
      </c>
      <c r="H73" s="85"/>
      <c r="I73" s="306">
        <v>3417.73</v>
      </c>
      <c r="J73" s="185">
        <f t="shared" si="8"/>
        <v>486.43</v>
      </c>
      <c r="K73" s="189">
        <f t="shared" si="9"/>
        <v>3891.44</v>
      </c>
      <c r="L73" s="189"/>
      <c r="M73" s="138"/>
      <c r="N73" s="139"/>
      <c r="O73" s="139"/>
      <c r="S73" s="72"/>
      <c r="T73" s="72"/>
      <c r="U73" s="72"/>
      <c r="V73" s="72"/>
    </row>
    <row r="74" spans="1:22" s="63" customFormat="1" ht="22.5" x14ac:dyDescent="0.25">
      <c r="A74" s="87">
        <v>1.59</v>
      </c>
      <c r="B74" s="81" t="s">
        <v>38</v>
      </c>
      <c r="C74" s="82">
        <v>42</v>
      </c>
      <c r="D74" s="131" t="s">
        <v>254</v>
      </c>
      <c r="E74" s="83" t="s">
        <v>255</v>
      </c>
      <c r="F74" s="81" t="s">
        <v>205</v>
      </c>
      <c r="G74" s="303">
        <v>0.442</v>
      </c>
      <c r="H74" s="85"/>
      <c r="I74" s="306">
        <v>9822.11</v>
      </c>
      <c r="J74" s="185">
        <f t="shared" si="8"/>
        <v>25301.93</v>
      </c>
      <c r="K74" s="189">
        <f t="shared" si="9"/>
        <v>11183.45</v>
      </c>
      <c r="L74" s="189"/>
      <c r="M74" s="138"/>
      <c r="N74" s="139"/>
      <c r="O74" s="139"/>
      <c r="S74" s="72"/>
      <c r="T74" s="72"/>
      <c r="U74" s="72"/>
      <c r="V74" s="72"/>
    </row>
    <row r="75" spans="1:22" s="63" customFormat="1" ht="22.5" x14ac:dyDescent="0.25">
      <c r="A75" s="87">
        <v>1.6</v>
      </c>
      <c r="B75" s="81" t="s">
        <v>38</v>
      </c>
      <c r="C75" s="80">
        <v>42.1</v>
      </c>
      <c r="D75" s="131" t="s">
        <v>258</v>
      </c>
      <c r="E75" s="83" t="s">
        <v>259</v>
      </c>
      <c r="F75" s="81" t="s">
        <v>205</v>
      </c>
      <c r="G75" s="309">
        <v>0.43314000000000002</v>
      </c>
      <c r="H75" s="85"/>
      <c r="I75" s="306">
        <v>7464.26</v>
      </c>
      <c r="J75" s="185">
        <f t="shared" si="8"/>
        <v>19621.38</v>
      </c>
      <c r="K75" s="189">
        <f t="shared" si="9"/>
        <v>8498.7999999999993</v>
      </c>
      <c r="L75" s="189"/>
      <c r="M75" s="138"/>
      <c r="N75" s="139"/>
      <c r="O75" s="139"/>
      <c r="S75" s="72"/>
      <c r="T75" s="72"/>
      <c r="U75" s="72"/>
      <c r="V75" s="72"/>
    </row>
    <row r="76" spans="1:22" s="63" customFormat="1" ht="15" x14ac:dyDescent="0.25">
      <c r="A76" s="87">
        <v>1.61</v>
      </c>
      <c r="B76" s="81" t="s">
        <v>38</v>
      </c>
      <c r="C76" s="82">
        <v>43</v>
      </c>
      <c r="D76" s="131" t="s">
        <v>270</v>
      </c>
      <c r="E76" s="83" t="s">
        <v>271</v>
      </c>
      <c r="F76" s="81" t="s">
        <v>226</v>
      </c>
      <c r="G76" s="84">
        <v>2.0990000000000002</v>
      </c>
      <c r="H76" s="85"/>
      <c r="I76" s="86">
        <v>28399.08</v>
      </c>
      <c r="J76" s="185">
        <f t="shared" si="8"/>
        <v>15405.05</v>
      </c>
      <c r="K76" s="189">
        <f t="shared" si="9"/>
        <v>32335.200000000001</v>
      </c>
      <c r="L76" s="189"/>
      <c r="M76" s="138"/>
      <c r="N76" s="139"/>
      <c r="O76" s="139"/>
      <c r="S76" s="72"/>
      <c r="T76" s="72"/>
      <c r="U76" s="72"/>
      <c r="V76" s="72"/>
    </row>
    <row r="77" spans="1:22" s="63" customFormat="1" ht="33.75" x14ac:dyDescent="0.25">
      <c r="A77" s="87">
        <v>1.62</v>
      </c>
      <c r="B77" s="81" t="s">
        <v>38</v>
      </c>
      <c r="C77" s="80">
        <v>43.1</v>
      </c>
      <c r="D77" s="131" t="s">
        <v>266</v>
      </c>
      <c r="E77" s="83" t="s">
        <v>267</v>
      </c>
      <c r="F77" s="81" t="s">
        <v>226</v>
      </c>
      <c r="G77" s="84">
        <v>0.66100000000000003</v>
      </c>
      <c r="H77" s="85"/>
      <c r="I77" s="86">
        <v>63266</v>
      </c>
      <c r="J77" s="185">
        <f t="shared" si="8"/>
        <v>108978.32</v>
      </c>
      <c r="K77" s="189">
        <f t="shared" si="9"/>
        <v>72034.67</v>
      </c>
      <c r="L77" s="189"/>
      <c r="M77" s="138"/>
      <c r="N77" s="139"/>
      <c r="O77" s="139"/>
      <c r="S77" s="72"/>
      <c r="T77" s="72"/>
      <c r="U77" s="72"/>
      <c r="V77" s="72"/>
    </row>
    <row r="78" spans="1:22" s="63" customFormat="1" ht="33.75" x14ac:dyDescent="0.25">
      <c r="A78" s="87">
        <v>1.63</v>
      </c>
      <c r="B78" s="81" t="s">
        <v>38</v>
      </c>
      <c r="C78" s="80">
        <v>43.2</v>
      </c>
      <c r="D78" s="131" t="s">
        <v>268</v>
      </c>
      <c r="E78" s="83" t="s">
        <v>269</v>
      </c>
      <c r="F78" s="81" t="s">
        <v>226</v>
      </c>
      <c r="G78" s="84">
        <v>1.4379999999999999</v>
      </c>
      <c r="H78" s="85"/>
      <c r="I78" s="86">
        <v>119900.42</v>
      </c>
      <c r="J78" s="185">
        <f t="shared" si="8"/>
        <v>94936.45</v>
      </c>
      <c r="K78" s="189">
        <f t="shared" si="9"/>
        <v>136518.62</v>
      </c>
      <c r="L78" s="189"/>
      <c r="M78" s="138"/>
      <c r="N78" s="139"/>
      <c r="O78" s="139"/>
      <c r="S78" s="72"/>
      <c r="T78" s="72"/>
      <c r="U78" s="72"/>
      <c r="V78" s="72"/>
    </row>
    <row r="79" spans="1:22" s="128" customFormat="1" ht="12.75" x14ac:dyDescent="0.25">
      <c r="A79" s="237"/>
      <c r="B79" s="125"/>
      <c r="C79" s="236"/>
      <c r="D79" s="77"/>
      <c r="E79" s="126" t="s">
        <v>3210</v>
      </c>
      <c r="F79" s="125"/>
      <c r="G79" s="242"/>
      <c r="H79" s="127"/>
      <c r="I79" s="78"/>
      <c r="J79" s="238"/>
      <c r="K79" s="239"/>
      <c r="L79" s="239"/>
      <c r="M79" s="79"/>
      <c r="N79" s="129"/>
      <c r="O79" s="129"/>
      <c r="S79" s="129"/>
      <c r="T79" s="129"/>
      <c r="U79" s="129"/>
      <c r="V79" s="129"/>
    </row>
    <row r="80" spans="1:22" s="63" customFormat="1" ht="22.5" x14ac:dyDescent="0.25">
      <c r="A80" s="87">
        <v>1.64</v>
      </c>
      <c r="B80" s="81" t="s">
        <v>38</v>
      </c>
      <c r="C80" s="82">
        <v>44</v>
      </c>
      <c r="D80" s="131" t="s">
        <v>272</v>
      </c>
      <c r="E80" s="83" t="s">
        <v>273</v>
      </c>
      <c r="F80" s="81" t="s">
        <v>207</v>
      </c>
      <c r="G80" s="303">
        <v>6.2733999999999996</v>
      </c>
      <c r="H80" s="85"/>
      <c r="I80" s="306">
        <v>540508.92000000004</v>
      </c>
      <c r="J80" s="185">
        <f t="shared" ref="J80:J96" si="10">ROUND($I80/$G80*$N$11,2)</f>
        <v>98100.46</v>
      </c>
      <c r="K80" s="189">
        <f t="shared" ref="K80:K96" si="11">ROUND(G80*J80,2)</f>
        <v>615423.43000000005</v>
      </c>
      <c r="L80" s="189"/>
      <c r="M80" s="138"/>
      <c r="N80" s="139"/>
      <c r="O80" s="139"/>
      <c r="S80" s="72"/>
      <c r="T80" s="72"/>
      <c r="U80" s="72"/>
      <c r="V80" s="72"/>
    </row>
    <row r="81" spans="1:22" s="63" customFormat="1" ht="22.5" x14ac:dyDescent="0.25">
      <c r="A81" s="87">
        <v>1.65</v>
      </c>
      <c r="B81" s="81" t="s">
        <v>38</v>
      </c>
      <c r="C81" s="80">
        <v>44.1</v>
      </c>
      <c r="D81" s="131" t="s">
        <v>242</v>
      </c>
      <c r="E81" s="83" t="s">
        <v>243</v>
      </c>
      <c r="F81" s="81" t="s">
        <v>226</v>
      </c>
      <c r="G81" s="309">
        <v>-0.19417999999999999</v>
      </c>
      <c r="H81" s="85"/>
      <c r="I81" s="306">
        <v>-9254.74</v>
      </c>
      <c r="J81" s="185">
        <f t="shared" si="10"/>
        <v>54266.39</v>
      </c>
      <c r="K81" s="189">
        <f t="shared" si="11"/>
        <v>-10537.45</v>
      </c>
      <c r="L81" s="189"/>
      <c r="M81" s="138"/>
      <c r="N81" s="139"/>
      <c r="O81" s="139"/>
      <c r="S81" s="72"/>
      <c r="T81" s="72"/>
      <c r="U81" s="72"/>
      <c r="V81" s="72"/>
    </row>
    <row r="82" spans="1:22" s="63" customFormat="1" ht="22.5" x14ac:dyDescent="0.25">
      <c r="A82" s="87">
        <v>1.66</v>
      </c>
      <c r="B82" s="81" t="s">
        <v>38</v>
      </c>
      <c r="C82" s="80">
        <v>44.2</v>
      </c>
      <c r="D82" s="131" t="s">
        <v>262</v>
      </c>
      <c r="E82" s="83" t="s">
        <v>263</v>
      </c>
      <c r="F82" s="81" t="s">
        <v>205</v>
      </c>
      <c r="G82" s="303">
        <v>126.72499999999999</v>
      </c>
      <c r="H82" s="85"/>
      <c r="I82" s="306">
        <v>773307.25</v>
      </c>
      <c r="J82" s="185">
        <f t="shared" si="10"/>
        <v>6948.02</v>
      </c>
      <c r="K82" s="189">
        <f t="shared" si="11"/>
        <v>880487.83</v>
      </c>
      <c r="L82" s="189"/>
      <c r="M82" s="138"/>
      <c r="N82" s="139"/>
      <c r="O82" s="139"/>
      <c r="S82" s="72"/>
      <c r="T82" s="72"/>
      <c r="U82" s="72"/>
      <c r="V82" s="72"/>
    </row>
    <row r="83" spans="1:22" s="63" customFormat="1" ht="22.5" x14ac:dyDescent="0.25">
      <c r="A83" s="87">
        <v>1.67</v>
      </c>
      <c r="B83" s="81" t="s">
        <v>38</v>
      </c>
      <c r="C83" s="80">
        <v>44.3</v>
      </c>
      <c r="D83" s="131" t="s">
        <v>248</v>
      </c>
      <c r="E83" s="83" t="s">
        <v>249</v>
      </c>
      <c r="F83" s="81" t="s">
        <v>226</v>
      </c>
      <c r="G83" s="304">
        <v>2.571555</v>
      </c>
      <c r="H83" s="85"/>
      <c r="I83" s="306">
        <v>57999.19</v>
      </c>
      <c r="J83" s="185">
        <f t="shared" si="10"/>
        <v>25680.13</v>
      </c>
      <c r="K83" s="189">
        <f t="shared" si="11"/>
        <v>66037.87</v>
      </c>
      <c r="L83" s="189"/>
      <c r="M83" s="138"/>
      <c r="N83" s="139"/>
      <c r="O83" s="139"/>
      <c r="S83" s="72"/>
      <c r="T83" s="72"/>
      <c r="U83" s="72"/>
      <c r="V83" s="72"/>
    </row>
    <row r="84" spans="1:22" s="63" customFormat="1" ht="22.5" x14ac:dyDescent="0.25">
      <c r="A84" s="87">
        <v>1.68</v>
      </c>
      <c r="B84" s="81" t="s">
        <v>38</v>
      </c>
      <c r="C84" s="80">
        <v>44.4</v>
      </c>
      <c r="D84" s="131" t="s">
        <v>244</v>
      </c>
      <c r="E84" s="83" t="s">
        <v>245</v>
      </c>
      <c r="F84" s="81" t="s">
        <v>226</v>
      </c>
      <c r="G84" s="305">
        <v>1.2048000000000001</v>
      </c>
      <c r="H84" s="85"/>
      <c r="I84" s="306">
        <v>94327.09</v>
      </c>
      <c r="J84" s="185">
        <f t="shared" si="10"/>
        <v>89144.11</v>
      </c>
      <c r="K84" s="189">
        <f t="shared" si="11"/>
        <v>107400.82</v>
      </c>
      <c r="L84" s="189"/>
      <c r="M84" s="138"/>
      <c r="N84" s="139"/>
      <c r="O84" s="139"/>
      <c r="S84" s="72"/>
      <c r="T84" s="72"/>
      <c r="U84" s="72"/>
      <c r="V84" s="72"/>
    </row>
    <row r="85" spans="1:22" s="63" customFormat="1" ht="22.5" x14ac:dyDescent="0.25">
      <c r="A85" s="87">
        <v>1.69</v>
      </c>
      <c r="B85" s="81" t="s">
        <v>38</v>
      </c>
      <c r="C85" s="82">
        <v>45</v>
      </c>
      <c r="D85" s="131" t="s">
        <v>264</v>
      </c>
      <c r="E85" s="83" t="s">
        <v>265</v>
      </c>
      <c r="F85" s="81" t="s">
        <v>226</v>
      </c>
      <c r="G85" s="303">
        <v>4.1238999999999999</v>
      </c>
      <c r="H85" s="85"/>
      <c r="I85" s="306">
        <v>213003.38</v>
      </c>
      <c r="J85" s="185">
        <f t="shared" si="10"/>
        <v>58809.78</v>
      </c>
      <c r="K85" s="189">
        <f t="shared" si="11"/>
        <v>242525.65</v>
      </c>
      <c r="L85" s="189"/>
      <c r="M85" s="138"/>
      <c r="N85" s="139"/>
      <c r="O85" s="139"/>
      <c r="S85" s="72"/>
      <c r="T85" s="72"/>
      <c r="U85" s="72"/>
      <c r="V85" s="72"/>
    </row>
    <row r="86" spans="1:22" s="63" customFormat="1" ht="33.75" x14ac:dyDescent="0.25">
      <c r="A86" s="87">
        <v>1.7</v>
      </c>
      <c r="B86" s="81" t="s">
        <v>38</v>
      </c>
      <c r="C86" s="80">
        <v>45.1</v>
      </c>
      <c r="D86" s="131" t="s">
        <v>266</v>
      </c>
      <c r="E86" s="83" t="s">
        <v>267</v>
      </c>
      <c r="F86" s="81" t="s">
        <v>226</v>
      </c>
      <c r="G86" s="303">
        <v>3.4599000000000002</v>
      </c>
      <c r="H86" s="85"/>
      <c r="I86" s="306">
        <v>331155.8</v>
      </c>
      <c r="J86" s="185">
        <f t="shared" si="10"/>
        <v>108978.29</v>
      </c>
      <c r="K86" s="189">
        <f t="shared" si="11"/>
        <v>377053.99</v>
      </c>
      <c r="L86" s="189"/>
      <c r="M86" s="138"/>
      <c r="N86" s="139"/>
      <c r="O86" s="139"/>
      <c r="S86" s="72"/>
      <c r="T86" s="72"/>
      <c r="U86" s="72"/>
      <c r="V86" s="72"/>
    </row>
    <row r="87" spans="1:22" s="63" customFormat="1" ht="33.75" x14ac:dyDescent="0.25">
      <c r="A87" s="87">
        <v>1.71</v>
      </c>
      <c r="B87" s="81" t="s">
        <v>38</v>
      </c>
      <c r="C87" s="80">
        <v>45.2</v>
      </c>
      <c r="D87" s="131" t="s">
        <v>268</v>
      </c>
      <c r="E87" s="83" t="s">
        <v>269</v>
      </c>
      <c r="F87" s="81" t="s">
        <v>226</v>
      </c>
      <c r="G87" s="84">
        <v>0.66400000000000003</v>
      </c>
      <c r="H87" s="85"/>
      <c r="I87" s="86">
        <v>55364.31</v>
      </c>
      <c r="J87" s="185">
        <f t="shared" si="10"/>
        <v>94936.45</v>
      </c>
      <c r="K87" s="189">
        <f t="shared" si="11"/>
        <v>63037.8</v>
      </c>
      <c r="L87" s="189"/>
      <c r="M87" s="138"/>
      <c r="N87" s="139"/>
      <c r="O87" s="139"/>
      <c r="S87" s="72"/>
      <c r="T87" s="72"/>
      <c r="U87" s="72"/>
      <c r="V87" s="72"/>
    </row>
    <row r="88" spans="1:22" s="63" customFormat="1" ht="22.5" x14ac:dyDescent="0.25">
      <c r="A88" s="87">
        <v>1.72</v>
      </c>
      <c r="B88" s="81" t="s">
        <v>38</v>
      </c>
      <c r="C88" s="82">
        <v>46</v>
      </c>
      <c r="D88" s="131" t="s">
        <v>250</v>
      </c>
      <c r="E88" s="83" t="s">
        <v>251</v>
      </c>
      <c r="F88" s="81" t="s">
        <v>216</v>
      </c>
      <c r="G88" s="307">
        <v>18.72</v>
      </c>
      <c r="H88" s="85"/>
      <c r="I88" s="306">
        <v>96442.59</v>
      </c>
      <c r="J88" s="185">
        <f t="shared" si="10"/>
        <v>5865.89</v>
      </c>
      <c r="K88" s="189">
        <f t="shared" si="11"/>
        <v>109809.46</v>
      </c>
      <c r="L88" s="189"/>
      <c r="M88" s="138"/>
      <c r="N88" s="139"/>
      <c r="O88" s="139"/>
      <c r="S88" s="72"/>
      <c r="T88" s="72"/>
      <c r="U88" s="72"/>
      <c r="V88" s="72"/>
    </row>
    <row r="89" spans="1:22" s="63" customFormat="1" ht="22.5" x14ac:dyDescent="0.25">
      <c r="A89" s="87">
        <v>1.73</v>
      </c>
      <c r="B89" s="81" t="s">
        <v>38</v>
      </c>
      <c r="C89" s="82">
        <v>47</v>
      </c>
      <c r="D89" s="131" t="s">
        <v>252</v>
      </c>
      <c r="E89" s="83" t="s">
        <v>3434</v>
      </c>
      <c r="F89" s="81" t="s">
        <v>216</v>
      </c>
      <c r="G89" s="307">
        <v>-18.72</v>
      </c>
      <c r="H89" s="85"/>
      <c r="I89" s="306">
        <v>-36600.379999999997</v>
      </c>
      <c r="J89" s="185">
        <f t="shared" si="10"/>
        <v>2226.13</v>
      </c>
      <c r="K89" s="189">
        <f t="shared" si="11"/>
        <v>-41673.15</v>
      </c>
      <c r="L89" s="189"/>
      <c r="M89" s="138"/>
      <c r="N89" s="139"/>
      <c r="O89" s="139"/>
      <c r="S89" s="72"/>
      <c r="T89" s="72"/>
      <c r="U89" s="72"/>
      <c r="V89" s="72"/>
    </row>
    <row r="90" spans="1:22" s="63" customFormat="1" ht="22.5" x14ac:dyDescent="0.25">
      <c r="A90" s="87">
        <v>1.74</v>
      </c>
      <c r="B90" s="81" t="s">
        <v>38</v>
      </c>
      <c r="C90" s="80">
        <v>47.1</v>
      </c>
      <c r="D90" s="131" t="s">
        <v>253</v>
      </c>
      <c r="E90" s="83" t="s">
        <v>4209</v>
      </c>
      <c r="F90" s="81" t="s">
        <v>219</v>
      </c>
      <c r="G90" s="308">
        <v>1872</v>
      </c>
      <c r="H90" s="85"/>
      <c r="I90" s="306">
        <f>59844.1</f>
        <v>59844.1</v>
      </c>
      <c r="J90" s="185">
        <f t="shared" si="10"/>
        <v>36.4</v>
      </c>
      <c r="K90" s="189">
        <f t="shared" si="11"/>
        <v>68140.800000000003</v>
      </c>
      <c r="L90" s="189"/>
      <c r="M90" s="138"/>
      <c r="N90" s="139"/>
      <c r="O90" s="139"/>
      <c r="S90" s="72"/>
      <c r="T90" s="72"/>
      <c r="U90" s="72"/>
      <c r="V90" s="72"/>
    </row>
    <row r="91" spans="1:22" s="63" customFormat="1" ht="22.5" x14ac:dyDescent="0.25">
      <c r="A91" s="87">
        <v>1.75</v>
      </c>
      <c r="B91" s="81" t="s">
        <v>38</v>
      </c>
      <c r="C91" s="80">
        <v>47.2</v>
      </c>
      <c r="D91" s="131" t="s">
        <v>256</v>
      </c>
      <c r="E91" s="83" t="s">
        <v>257</v>
      </c>
      <c r="F91" s="81" t="s">
        <v>219</v>
      </c>
      <c r="G91" s="308">
        <v>29</v>
      </c>
      <c r="H91" s="85"/>
      <c r="I91" s="306">
        <v>12389.29</v>
      </c>
      <c r="J91" s="185">
        <f t="shared" si="10"/>
        <v>486.43</v>
      </c>
      <c r="K91" s="189">
        <f t="shared" si="11"/>
        <v>14106.47</v>
      </c>
      <c r="L91" s="189"/>
      <c r="M91" s="138"/>
      <c r="N91" s="139"/>
      <c r="O91" s="139"/>
      <c r="S91" s="72"/>
      <c r="T91" s="72"/>
      <c r="U91" s="72"/>
      <c r="V91" s="72"/>
    </row>
    <row r="92" spans="1:22" s="63" customFormat="1" ht="22.5" x14ac:dyDescent="0.25">
      <c r="A92" s="87">
        <v>1.76</v>
      </c>
      <c r="B92" s="81" t="s">
        <v>38</v>
      </c>
      <c r="C92" s="82">
        <v>48</v>
      </c>
      <c r="D92" s="131" t="s">
        <v>254</v>
      </c>
      <c r="E92" s="83" t="s">
        <v>255</v>
      </c>
      <c r="F92" s="81" t="s">
        <v>205</v>
      </c>
      <c r="G92" s="303">
        <v>1.9730000000000001</v>
      </c>
      <c r="H92" s="85"/>
      <c r="I92" s="306">
        <v>43844.63</v>
      </c>
      <c r="J92" s="185">
        <f t="shared" si="10"/>
        <v>25302.33</v>
      </c>
      <c r="K92" s="189">
        <f t="shared" si="11"/>
        <v>49921.5</v>
      </c>
      <c r="L92" s="189"/>
      <c r="M92" s="138"/>
      <c r="N92" s="139"/>
      <c r="O92" s="139"/>
      <c r="S92" s="72"/>
      <c r="T92" s="72"/>
      <c r="U92" s="72"/>
      <c r="V92" s="72"/>
    </row>
    <row r="93" spans="1:22" s="63" customFormat="1" ht="22.5" x14ac:dyDescent="0.25">
      <c r="A93" s="87">
        <v>1.77</v>
      </c>
      <c r="B93" s="81" t="s">
        <v>38</v>
      </c>
      <c r="C93" s="80">
        <v>48.1</v>
      </c>
      <c r="D93" s="131" t="s">
        <v>258</v>
      </c>
      <c r="E93" s="83" t="s">
        <v>259</v>
      </c>
      <c r="F93" s="81" t="s">
        <v>205</v>
      </c>
      <c r="G93" s="305">
        <v>1.9335</v>
      </c>
      <c r="H93" s="85"/>
      <c r="I93" s="306">
        <v>33319.800000000003</v>
      </c>
      <c r="J93" s="185">
        <f t="shared" si="10"/>
        <v>19621.37</v>
      </c>
      <c r="K93" s="189">
        <f t="shared" si="11"/>
        <v>37937.919999999998</v>
      </c>
      <c r="L93" s="189"/>
      <c r="M93" s="138"/>
      <c r="N93" s="139"/>
      <c r="O93" s="139"/>
      <c r="S93" s="72"/>
      <c r="T93" s="72"/>
      <c r="U93" s="72"/>
      <c r="V93" s="72"/>
    </row>
    <row r="94" spans="1:22" s="63" customFormat="1" ht="15" x14ac:dyDescent="0.25">
      <c r="A94" s="87">
        <v>1.78</v>
      </c>
      <c r="B94" s="81" t="s">
        <v>38</v>
      </c>
      <c r="C94" s="82">
        <v>49</v>
      </c>
      <c r="D94" s="131" t="s">
        <v>270</v>
      </c>
      <c r="E94" s="83" t="s">
        <v>271</v>
      </c>
      <c r="F94" s="81" t="s">
        <v>226</v>
      </c>
      <c r="G94" s="303">
        <v>4.4859999999999998</v>
      </c>
      <c r="H94" s="85"/>
      <c r="I94" s="306">
        <v>60695.360000000001</v>
      </c>
      <c r="J94" s="185">
        <f t="shared" si="10"/>
        <v>15405.2</v>
      </c>
      <c r="K94" s="189">
        <f t="shared" si="11"/>
        <v>69107.73</v>
      </c>
      <c r="L94" s="189"/>
      <c r="M94" s="138"/>
      <c r="N94" s="139"/>
      <c r="O94" s="139"/>
      <c r="S94" s="72"/>
      <c r="T94" s="72"/>
      <c r="U94" s="72"/>
      <c r="V94" s="72"/>
    </row>
    <row r="95" spans="1:22" s="63" customFormat="1" ht="33.75" x14ac:dyDescent="0.25">
      <c r="A95" s="87">
        <v>1.79</v>
      </c>
      <c r="B95" s="81" t="s">
        <v>38</v>
      </c>
      <c r="C95" s="80">
        <v>49.1</v>
      </c>
      <c r="D95" s="131" t="s">
        <v>266</v>
      </c>
      <c r="E95" s="83" t="s">
        <v>267</v>
      </c>
      <c r="F95" s="81" t="s">
        <v>226</v>
      </c>
      <c r="G95" s="303">
        <v>1.111</v>
      </c>
      <c r="H95" s="85"/>
      <c r="I95" s="306">
        <v>106336.67</v>
      </c>
      <c r="J95" s="185">
        <f t="shared" si="10"/>
        <v>108978.34</v>
      </c>
      <c r="K95" s="189">
        <f t="shared" si="11"/>
        <v>121074.94</v>
      </c>
      <c r="L95" s="189"/>
      <c r="M95" s="138"/>
      <c r="N95" s="139"/>
      <c r="O95" s="139"/>
      <c r="S95" s="72"/>
      <c r="T95" s="72"/>
      <c r="U95" s="72"/>
      <c r="V95" s="72"/>
    </row>
    <row r="96" spans="1:22" s="63" customFormat="1" ht="33.75" x14ac:dyDescent="0.25">
      <c r="A96" s="87">
        <v>1.8</v>
      </c>
      <c r="B96" s="81" t="s">
        <v>38</v>
      </c>
      <c r="C96" s="80">
        <v>49.2</v>
      </c>
      <c r="D96" s="131" t="s">
        <v>268</v>
      </c>
      <c r="E96" s="83" t="s">
        <v>269</v>
      </c>
      <c r="F96" s="81" t="s">
        <v>226</v>
      </c>
      <c r="G96" s="303">
        <v>3.375</v>
      </c>
      <c r="H96" s="85"/>
      <c r="I96" s="306">
        <v>281407.56</v>
      </c>
      <c r="J96" s="185">
        <f t="shared" si="10"/>
        <v>94936.49</v>
      </c>
      <c r="K96" s="189">
        <f t="shared" si="11"/>
        <v>320410.65000000002</v>
      </c>
      <c r="L96" s="189"/>
      <c r="M96" s="138"/>
      <c r="N96" s="139"/>
      <c r="O96" s="139"/>
      <c r="S96" s="72"/>
      <c r="T96" s="72"/>
      <c r="U96" s="72"/>
      <c r="V96" s="72"/>
    </row>
    <row r="97" spans="1:22" s="128" customFormat="1" ht="12.75" x14ac:dyDescent="0.25">
      <c r="A97" s="237"/>
      <c r="B97" s="125"/>
      <c r="C97" s="236"/>
      <c r="D97" s="77"/>
      <c r="E97" s="126" t="s">
        <v>3211</v>
      </c>
      <c r="F97" s="125"/>
      <c r="G97" s="242"/>
      <c r="H97" s="127"/>
      <c r="I97" s="78"/>
      <c r="J97" s="238"/>
      <c r="K97" s="239"/>
      <c r="L97" s="239"/>
      <c r="M97" s="79"/>
      <c r="N97" s="129"/>
      <c r="O97" s="129"/>
      <c r="S97" s="129"/>
      <c r="T97" s="129"/>
      <c r="U97" s="129"/>
      <c r="V97" s="129"/>
    </row>
    <row r="98" spans="1:22" s="63" customFormat="1" ht="22.5" x14ac:dyDescent="0.25">
      <c r="A98" s="87">
        <v>1.81</v>
      </c>
      <c r="B98" s="81" t="s">
        <v>38</v>
      </c>
      <c r="C98" s="82">
        <v>53</v>
      </c>
      <c r="D98" s="131" t="s">
        <v>272</v>
      </c>
      <c r="E98" s="83" t="s">
        <v>273</v>
      </c>
      <c r="F98" s="81" t="s">
        <v>207</v>
      </c>
      <c r="G98" s="84">
        <v>0.38200000000000001</v>
      </c>
      <c r="H98" s="85"/>
      <c r="I98" s="86">
        <v>32911.730000000003</v>
      </c>
      <c r="J98" s="185">
        <f t="shared" ref="J98:J106" si="12">ROUND($I98/$G98*$N$11,2)</f>
        <v>98097.63</v>
      </c>
      <c r="K98" s="189">
        <f t="shared" ref="K98:K106" si="13">ROUND(G98*J98,2)</f>
        <v>37473.29</v>
      </c>
      <c r="L98" s="189"/>
      <c r="M98" s="138"/>
      <c r="N98" s="139"/>
      <c r="O98" s="139"/>
      <c r="S98" s="72"/>
      <c r="T98" s="72"/>
      <c r="U98" s="72"/>
      <c r="V98" s="72"/>
    </row>
    <row r="99" spans="1:22" s="63" customFormat="1" ht="22.5" x14ac:dyDescent="0.25">
      <c r="A99" s="87">
        <v>1.82</v>
      </c>
      <c r="B99" s="81" t="s">
        <v>38</v>
      </c>
      <c r="C99" s="80">
        <v>53.1</v>
      </c>
      <c r="D99" s="131" t="s">
        <v>242</v>
      </c>
      <c r="E99" s="83" t="s">
        <v>243</v>
      </c>
      <c r="F99" s="81" t="s">
        <v>226</v>
      </c>
      <c r="G99" s="90">
        <v>-1.1842E-2</v>
      </c>
      <c r="H99" s="85"/>
      <c r="I99" s="86">
        <v>-564.41</v>
      </c>
      <c r="J99" s="185">
        <f t="shared" si="12"/>
        <v>54267.63</v>
      </c>
      <c r="K99" s="189">
        <f t="shared" si="13"/>
        <v>-642.64</v>
      </c>
      <c r="L99" s="189"/>
      <c r="M99" s="138"/>
      <c r="N99" s="139"/>
      <c r="O99" s="139"/>
      <c r="S99" s="72"/>
      <c r="T99" s="72"/>
      <c r="U99" s="72"/>
      <c r="V99" s="72"/>
    </row>
    <row r="100" spans="1:22" s="63" customFormat="1" ht="22.5" x14ac:dyDescent="0.25">
      <c r="A100" s="87">
        <v>1.83</v>
      </c>
      <c r="B100" s="81" t="s">
        <v>38</v>
      </c>
      <c r="C100" s="80">
        <v>53.2</v>
      </c>
      <c r="D100" s="131" t="s">
        <v>244</v>
      </c>
      <c r="E100" s="83" t="s">
        <v>245</v>
      </c>
      <c r="F100" s="81" t="s">
        <v>226</v>
      </c>
      <c r="G100" s="84">
        <v>7.2999999999999995E-2</v>
      </c>
      <c r="H100" s="85"/>
      <c r="I100" s="86">
        <v>5715.35</v>
      </c>
      <c r="J100" s="185">
        <f t="shared" si="12"/>
        <v>89143.8</v>
      </c>
      <c r="K100" s="189">
        <f t="shared" si="13"/>
        <v>6507.5</v>
      </c>
      <c r="L100" s="189"/>
      <c r="M100" s="138"/>
      <c r="N100" s="139"/>
      <c r="O100" s="139"/>
      <c r="S100" s="72"/>
      <c r="T100" s="72"/>
      <c r="U100" s="72"/>
      <c r="V100" s="72"/>
    </row>
    <row r="101" spans="1:22" s="63" customFormat="1" ht="22.5" x14ac:dyDescent="0.25">
      <c r="A101" s="87">
        <v>1.84</v>
      </c>
      <c r="B101" s="81" t="s">
        <v>38</v>
      </c>
      <c r="C101" s="80">
        <v>53.3</v>
      </c>
      <c r="D101" s="131" t="s">
        <v>246</v>
      </c>
      <c r="E101" s="83" t="s">
        <v>247</v>
      </c>
      <c r="F101" s="81" t="s">
        <v>205</v>
      </c>
      <c r="G101" s="88">
        <v>7.7164000000000001</v>
      </c>
      <c r="H101" s="85"/>
      <c r="I101" s="86">
        <v>43326.94</v>
      </c>
      <c r="J101" s="185">
        <f t="shared" si="12"/>
        <v>6393.14</v>
      </c>
      <c r="K101" s="189">
        <f t="shared" si="13"/>
        <v>49332.03</v>
      </c>
      <c r="L101" s="189"/>
      <c r="M101" s="138"/>
      <c r="N101" s="139"/>
      <c r="O101" s="139"/>
      <c r="S101" s="72"/>
      <c r="T101" s="72"/>
      <c r="U101" s="72"/>
      <c r="V101" s="72"/>
    </row>
    <row r="102" spans="1:22" s="63" customFormat="1" ht="22.5" x14ac:dyDescent="0.25">
      <c r="A102" s="87">
        <v>1.85</v>
      </c>
      <c r="B102" s="81" t="s">
        <v>38</v>
      </c>
      <c r="C102" s="80">
        <v>53.4</v>
      </c>
      <c r="D102" s="131" t="s">
        <v>248</v>
      </c>
      <c r="E102" s="83" t="s">
        <v>249</v>
      </c>
      <c r="F102" s="81" t="s">
        <v>226</v>
      </c>
      <c r="G102" s="90">
        <v>0.156613</v>
      </c>
      <c r="H102" s="85"/>
      <c r="I102" s="86">
        <v>3532.29</v>
      </c>
      <c r="J102" s="185">
        <f t="shared" si="12"/>
        <v>25680.28</v>
      </c>
      <c r="K102" s="189">
        <f t="shared" si="13"/>
        <v>4021.87</v>
      </c>
      <c r="L102" s="189"/>
      <c r="M102" s="138"/>
      <c r="N102" s="139"/>
      <c r="O102" s="139"/>
      <c r="S102" s="72"/>
      <c r="T102" s="72"/>
      <c r="U102" s="72"/>
      <c r="V102" s="72"/>
    </row>
    <row r="103" spans="1:22" s="63" customFormat="1" ht="15" x14ac:dyDescent="0.25">
      <c r="A103" s="87">
        <v>1.86</v>
      </c>
      <c r="B103" s="81" t="s">
        <v>38</v>
      </c>
      <c r="C103" s="82">
        <v>54</v>
      </c>
      <c r="D103" s="131" t="s">
        <v>274</v>
      </c>
      <c r="E103" s="83" t="s">
        <v>275</v>
      </c>
      <c r="F103" s="81" t="s">
        <v>196</v>
      </c>
      <c r="G103" s="84">
        <v>6.3E-2</v>
      </c>
      <c r="H103" s="85"/>
      <c r="I103" s="86">
        <v>78590.78</v>
      </c>
      <c r="J103" s="185">
        <f t="shared" si="12"/>
        <v>1420372.41</v>
      </c>
      <c r="K103" s="189">
        <f t="shared" si="13"/>
        <v>89483.46</v>
      </c>
      <c r="L103" s="189"/>
      <c r="M103" s="138"/>
      <c r="N103" s="139"/>
      <c r="O103" s="139"/>
      <c r="S103" s="72"/>
      <c r="T103" s="72"/>
      <c r="U103" s="72"/>
      <c r="V103" s="72"/>
    </row>
    <row r="104" spans="1:22" s="63" customFormat="1" ht="22.5" x14ac:dyDescent="0.25">
      <c r="A104" s="87">
        <v>1.87</v>
      </c>
      <c r="B104" s="81" t="s">
        <v>38</v>
      </c>
      <c r="C104" s="80">
        <v>54.1</v>
      </c>
      <c r="D104" s="131" t="s">
        <v>222</v>
      </c>
      <c r="E104" s="83" t="s">
        <v>223</v>
      </c>
      <c r="F104" s="81" t="s">
        <v>205</v>
      </c>
      <c r="G104" s="88">
        <v>6.3944999999999999</v>
      </c>
      <c r="H104" s="85"/>
      <c r="I104" s="86">
        <v>37097</v>
      </c>
      <c r="J104" s="185">
        <f t="shared" si="12"/>
        <v>6605.46</v>
      </c>
      <c r="K104" s="189">
        <f t="shared" si="13"/>
        <v>42238.61</v>
      </c>
      <c r="L104" s="189"/>
      <c r="M104" s="138"/>
      <c r="N104" s="139"/>
      <c r="O104" s="139"/>
      <c r="S104" s="72"/>
      <c r="T104" s="72"/>
      <c r="U104" s="72"/>
      <c r="V104" s="72"/>
    </row>
    <row r="105" spans="1:22" s="63" customFormat="1" ht="22.5" x14ac:dyDescent="0.25">
      <c r="A105" s="87">
        <v>1.88</v>
      </c>
      <c r="B105" s="81" t="s">
        <v>38</v>
      </c>
      <c r="C105" s="80">
        <v>54.2</v>
      </c>
      <c r="D105" s="131" t="s">
        <v>276</v>
      </c>
      <c r="E105" s="83" t="s">
        <v>277</v>
      </c>
      <c r="F105" s="81" t="s">
        <v>226</v>
      </c>
      <c r="G105" s="84">
        <v>0.104</v>
      </c>
      <c r="H105" s="85"/>
      <c r="I105" s="86">
        <v>5144.01</v>
      </c>
      <c r="J105" s="185">
        <f t="shared" si="12"/>
        <v>56317.02</v>
      </c>
      <c r="K105" s="189">
        <f t="shared" si="13"/>
        <v>5856.97</v>
      </c>
      <c r="L105" s="189"/>
      <c r="M105" s="138"/>
      <c r="N105" s="139"/>
      <c r="O105" s="139"/>
      <c r="S105" s="72"/>
      <c r="T105" s="72"/>
      <c r="U105" s="72"/>
      <c r="V105" s="72"/>
    </row>
    <row r="106" spans="1:22" s="63" customFormat="1" ht="22.5" x14ac:dyDescent="0.25">
      <c r="A106" s="87">
        <v>1.89</v>
      </c>
      <c r="B106" s="81" t="s">
        <v>38</v>
      </c>
      <c r="C106" s="80">
        <v>54.3</v>
      </c>
      <c r="D106" s="131" t="s">
        <v>278</v>
      </c>
      <c r="E106" s="83" t="s">
        <v>279</v>
      </c>
      <c r="F106" s="81" t="s">
        <v>226</v>
      </c>
      <c r="G106" s="84">
        <v>0.38700000000000001</v>
      </c>
      <c r="H106" s="85"/>
      <c r="I106" s="86">
        <v>19941.55</v>
      </c>
      <c r="J106" s="185">
        <f t="shared" si="12"/>
        <v>58670.41</v>
      </c>
      <c r="K106" s="189">
        <f t="shared" si="13"/>
        <v>22705.45</v>
      </c>
      <c r="L106" s="189"/>
      <c r="M106" s="138"/>
      <c r="N106" s="139"/>
      <c r="O106" s="139"/>
      <c r="S106" s="72"/>
      <c r="T106" s="72"/>
      <c r="U106" s="72"/>
      <c r="V106" s="72"/>
    </row>
    <row r="107" spans="1:22" s="128" customFormat="1" ht="12.75" x14ac:dyDescent="0.25">
      <c r="A107" s="237"/>
      <c r="B107" s="125"/>
      <c r="C107" s="236"/>
      <c r="D107" s="77"/>
      <c r="E107" s="126" t="s">
        <v>3212</v>
      </c>
      <c r="F107" s="125"/>
      <c r="G107" s="242"/>
      <c r="H107" s="127"/>
      <c r="I107" s="78"/>
      <c r="J107" s="238"/>
      <c r="K107" s="239"/>
      <c r="L107" s="239"/>
      <c r="M107" s="79"/>
      <c r="N107" s="129"/>
      <c r="O107" s="129"/>
      <c r="S107" s="129"/>
      <c r="T107" s="129"/>
      <c r="U107" s="129"/>
      <c r="V107" s="129"/>
    </row>
    <row r="108" spans="1:22" s="63" customFormat="1" ht="22.5" x14ac:dyDescent="0.25">
      <c r="A108" s="87">
        <v>1.9</v>
      </c>
      <c r="B108" s="81" t="s">
        <v>38</v>
      </c>
      <c r="C108" s="82">
        <v>55</v>
      </c>
      <c r="D108" s="131" t="s">
        <v>260</v>
      </c>
      <c r="E108" s="83" t="s">
        <v>261</v>
      </c>
      <c r="F108" s="81" t="s">
        <v>207</v>
      </c>
      <c r="G108" s="307">
        <v>0.32</v>
      </c>
      <c r="H108" s="85"/>
      <c r="I108" s="306">
        <v>20700.97</v>
      </c>
      <c r="J108" s="185">
        <f t="shared" ref="J108:J121" si="14">ROUND($I108/$G108*$N$11,2)</f>
        <v>73656.639999999999</v>
      </c>
      <c r="K108" s="189">
        <f t="shared" ref="K108:K121" si="15">ROUND(G108*J108,2)</f>
        <v>23570.12</v>
      </c>
      <c r="L108" s="189"/>
      <c r="M108" s="138"/>
      <c r="N108" s="139"/>
      <c r="O108" s="139"/>
      <c r="S108" s="72"/>
      <c r="T108" s="72"/>
      <c r="U108" s="72"/>
      <c r="V108" s="72"/>
    </row>
    <row r="109" spans="1:22" s="63" customFormat="1" ht="22.5" x14ac:dyDescent="0.25">
      <c r="A109" s="87">
        <v>1.91</v>
      </c>
      <c r="B109" s="81" t="s">
        <v>38</v>
      </c>
      <c r="C109" s="80">
        <v>55.1</v>
      </c>
      <c r="D109" s="131" t="s">
        <v>262</v>
      </c>
      <c r="E109" s="83" t="s">
        <v>263</v>
      </c>
      <c r="F109" s="81" t="s">
        <v>205</v>
      </c>
      <c r="G109" s="303">
        <v>3.2320000000000002</v>
      </c>
      <c r="H109" s="85"/>
      <c r="I109" s="306">
        <v>19722.48</v>
      </c>
      <c r="J109" s="185">
        <f t="shared" si="14"/>
        <v>6948.02</v>
      </c>
      <c r="K109" s="189">
        <f t="shared" si="15"/>
        <v>22456</v>
      </c>
      <c r="L109" s="189"/>
      <c r="M109" s="138"/>
      <c r="N109" s="139"/>
      <c r="O109" s="139"/>
      <c r="S109" s="72"/>
      <c r="T109" s="72"/>
      <c r="U109" s="72"/>
      <c r="V109" s="72"/>
    </row>
    <row r="110" spans="1:22" s="63" customFormat="1" ht="22.5" x14ac:dyDescent="0.25">
      <c r="A110" s="87">
        <v>1.92</v>
      </c>
      <c r="B110" s="81" t="s">
        <v>38</v>
      </c>
      <c r="C110" s="80">
        <v>55.2</v>
      </c>
      <c r="D110" s="131" t="s">
        <v>248</v>
      </c>
      <c r="E110" s="83" t="s">
        <v>249</v>
      </c>
      <c r="F110" s="81" t="s">
        <v>226</v>
      </c>
      <c r="G110" s="304">
        <v>6.7918000000000006E-2</v>
      </c>
      <c r="H110" s="85"/>
      <c r="I110" s="306">
        <v>1531.8</v>
      </c>
      <c r="J110" s="185">
        <f t="shared" si="14"/>
        <v>25679.61</v>
      </c>
      <c r="K110" s="189">
        <f t="shared" si="15"/>
        <v>1744.11</v>
      </c>
      <c r="L110" s="189"/>
      <c r="M110" s="138"/>
      <c r="N110" s="139"/>
      <c r="O110" s="139"/>
      <c r="S110" s="72"/>
      <c r="T110" s="72"/>
      <c r="U110" s="72"/>
      <c r="V110" s="72"/>
    </row>
    <row r="111" spans="1:22" s="63" customFormat="1" ht="15" x14ac:dyDescent="0.25">
      <c r="A111" s="87">
        <v>1.93</v>
      </c>
      <c r="B111" s="81" t="s">
        <v>38</v>
      </c>
      <c r="C111" s="82">
        <v>56</v>
      </c>
      <c r="D111" s="131" t="s">
        <v>274</v>
      </c>
      <c r="E111" s="83" t="s">
        <v>275</v>
      </c>
      <c r="F111" s="81" t="s">
        <v>196</v>
      </c>
      <c r="G111" s="84">
        <v>5.0999999999999997E-2</v>
      </c>
      <c r="H111" s="85"/>
      <c r="I111" s="86">
        <v>63620.19</v>
      </c>
      <c r="J111" s="185">
        <f t="shared" si="14"/>
        <v>1420351.93</v>
      </c>
      <c r="K111" s="189">
        <f t="shared" si="15"/>
        <v>72437.95</v>
      </c>
      <c r="L111" s="189"/>
      <c r="M111" s="138"/>
      <c r="N111" s="139"/>
      <c r="O111" s="139"/>
      <c r="S111" s="72"/>
      <c r="T111" s="72"/>
      <c r="U111" s="72"/>
      <c r="V111" s="72"/>
    </row>
    <row r="112" spans="1:22" s="63" customFormat="1" ht="22.5" x14ac:dyDescent="0.25">
      <c r="A112" s="87">
        <v>1.94</v>
      </c>
      <c r="B112" s="81" t="s">
        <v>38</v>
      </c>
      <c r="C112" s="80">
        <v>56.1</v>
      </c>
      <c r="D112" s="131" t="s">
        <v>231</v>
      </c>
      <c r="E112" s="83" t="s">
        <v>232</v>
      </c>
      <c r="F112" s="81" t="s">
        <v>205</v>
      </c>
      <c r="G112" s="84">
        <v>5.1769999999999996</v>
      </c>
      <c r="H112" s="85"/>
      <c r="I112" s="86">
        <v>36695.53</v>
      </c>
      <c r="J112" s="185">
        <f t="shared" si="14"/>
        <v>8070.61</v>
      </c>
      <c r="K112" s="189">
        <f t="shared" si="15"/>
        <v>41781.550000000003</v>
      </c>
      <c r="L112" s="189"/>
      <c r="M112" s="138"/>
      <c r="N112" s="139"/>
      <c r="O112" s="139"/>
      <c r="S112" s="72"/>
      <c r="T112" s="72"/>
      <c r="U112" s="72"/>
      <c r="V112" s="72"/>
    </row>
    <row r="113" spans="1:22" s="63" customFormat="1" ht="22.5" x14ac:dyDescent="0.25">
      <c r="A113" s="87">
        <v>1.95</v>
      </c>
      <c r="B113" s="81" t="s">
        <v>38</v>
      </c>
      <c r="C113" s="80">
        <v>56.2</v>
      </c>
      <c r="D113" s="131" t="s">
        <v>278</v>
      </c>
      <c r="E113" s="83" t="s">
        <v>279</v>
      </c>
      <c r="F113" s="81" t="s">
        <v>226</v>
      </c>
      <c r="G113" s="84">
        <v>0.315</v>
      </c>
      <c r="H113" s="85"/>
      <c r="I113" s="86">
        <v>16231.49</v>
      </c>
      <c r="J113" s="185">
        <f t="shared" si="14"/>
        <v>58670.400000000001</v>
      </c>
      <c r="K113" s="189">
        <f t="shared" si="15"/>
        <v>18481.18</v>
      </c>
      <c r="L113" s="189"/>
      <c r="M113" s="138"/>
      <c r="N113" s="139"/>
      <c r="O113" s="139"/>
      <c r="S113" s="72"/>
      <c r="T113" s="72"/>
      <c r="U113" s="72"/>
      <c r="V113" s="72"/>
    </row>
    <row r="114" spans="1:22" s="63" customFormat="1" ht="22.5" x14ac:dyDescent="0.25">
      <c r="A114" s="87">
        <v>1.96</v>
      </c>
      <c r="B114" s="81" t="s">
        <v>38</v>
      </c>
      <c r="C114" s="80">
        <v>56.3</v>
      </c>
      <c r="D114" s="131" t="s">
        <v>276</v>
      </c>
      <c r="E114" s="83" t="s">
        <v>277</v>
      </c>
      <c r="F114" s="81" t="s">
        <v>226</v>
      </c>
      <c r="G114" s="84">
        <v>8.5000000000000006E-2</v>
      </c>
      <c r="H114" s="85"/>
      <c r="I114" s="86">
        <v>4204.24</v>
      </c>
      <c r="J114" s="185">
        <f t="shared" si="14"/>
        <v>56317.03</v>
      </c>
      <c r="K114" s="189">
        <f t="shared" si="15"/>
        <v>4786.95</v>
      </c>
      <c r="L114" s="189"/>
      <c r="M114" s="138"/>
      <c r="N114" s="139"/>
      <c r="O114" s="139"/>
      <c r="S114" s="72"/>
      <c r="T114" s="72"/>
      <c r="U114" s="72"/>
      <c r="V114" s="72"/>
    </row>
    <row r="115" spans="1:22" s="63" customFormat="1" ht="15" x14ac:dyDescent="0.25">
      <c r="A115" s="87">
        <v>1.97</v>
      </c>
      <c r="B115" s="81" t="s">
        <v>38</v>
      </c>
      <c r="C115" s="82">
        <v>57</v>
      </c>
      <c r="D115" s="131" t="s">
        <v>280</v>
      </c>
      <c r="E115" s="83" t="s">
        <v>281</v>
      </c>
      <c r="F115" s="81" t="s">
        <v>226</v>
      </c>
      <c r="G115" s="84">
        <v>0.65300000000000002</v>
      </c>
      <c r="H115" s="85"/>
      <c r="I115" s="86">
        <v>138943.21</v>
      </c>
      <c r="J115" s="185">
        <f t="shared" si="14"/>
        <v>242267.59</v>
      </c>
      <c r="K115" s="189">
        <f t="shared" si="15"/>
        <v>158200.74</v>
      </c>
      <c r="L115" s="189"/>
      <c r="M115" s="138"/>
      <c r="N115" s="139"/>
      <c r="O115" s="139"/>
      <c r="S115" s="72"/>
      <c r="T115" s="72"/>
      <c r="U115" s="72"/>
      <c r="V115" s="72"/>
    </row>
    <row r="116" spans="1:22" s="63" customFormat="1" ht="33.75" x14ac:dyDescent="0.25">
      <c r="A116" s="87">
        <v>1.98</v>
      </c>
      <c r="B116" s="81" t="s">
        <v>38</v>
      </c>
      <c r="C116" s="80">
        <v>57.1</v>
      </c>
      <c r="D116" s="131" t="s">
        <v>282</v>
      </c>
      <c r="E116" s="83" t="s">
        <v>283</v>
      </c>
      <c r="F116" s="81" t="s">
        <v>226</v>
      </c>
      <c r="G116" s="84">
        <v>0.65300000000000002</v>
      </c>
      <c r="H116" s="85"/>
      <c r="I116" s="86">
        <v>44123.83</v>
      </c>
      <c r="J116" s="185">
        <f t="shared" si="14"/>
        <v>76936.28</v>
      </c>
      <c r="K116" s="189">
        <f t="shared" si="15"/>
        <v>50239.39</v>
      </c>
      <c r="L116" s="189"/>
      <c r="M116" s="138"/>
      <c r="N116" s="139"/>
      <c r="O116" s="139"/>
      <c r="S116" s="72"/>
      <c r="T116" s="72"/>
      <c r="U116" s="72"/>
      <c r="V116" s="72"/>
    </row>
    <row r="117" spans="1:22" s="63" customFormat="1" ht="22.5" x14ac:dyDescent="0.25">
      <c r="A117" s="87">
        <v>1.99</v>
      </c>
      <c r="B117" s="81" t="s">
        <v>38</v>
      </c>
      <c r="C117" s="82">
        <v>58</v>
      </c>
      <c r="D117" s="131" t="s">
        <v>284</v>
      </c>
      <c r="E117" s="83" t="s">
        <v>285</v>
      </c>
      <c r="F117" s="81" t="s">
        <v>207</v>
      </c>
      <c r="G117" s="88">
        <v>0.20480000000000001</v>
      </c>
      <c r="H117" s="85"/>
      <c r="I117" s="86">
        <v>1454.45</v>
      </c>
      <c r="J117" s="185">
        <f t="shared" si="14"/>
        <v>8086.12</v>
      </c>
      <c r="K117" s="189">
        <f t="shared" si="15"/>
        <v>1656.04</v>
      </c>
      <c r="L117" s="189"/>
      <c r="M117" s="138"/>
      <c r="N117" s="139"/>
      <c r="O117" s="139"/>
      <c r="S117" s="72"/>
      <c r="T117" s="72"/>
      <c r="U117" s="72"/>
      <c r="V117" s="72"/>
    </row>
    <row r="118" spans="1:22" s="63" customFormat="1" ht="22.5" x14ac:dyDescent="0.25">
      <c r="A118" s="84">
        <v>1.1000000000000001</v>
      </c>
      <c r="B118" s="81" t="s">
        <v>38</v>
      </c>
      <c r="C118" s="80">
        <v>58.1</v>
      </c>
      <c r="D118" s="131" t="s">
        <v>286</v>
      </c>
      <c r="E118" s="83" t="s">
        <v>287</v>
      </c>
      <c r="F118" s="81" t="s">
        <v>226</v>
      </c>
      <c r="G118" s="90">
        <v>-6.3489999999999996E-3</v>
      </c>
      <c r="H118" s="85"/>
      <c r="I118" s="86">
        <v>-482.45</v>
      </c>
      <c r="J118" s="185">
        <f t="shared" si="14"/>
        <v>86520.33</v>
      </c>
      <c r="K118" s="189">
        <f t="shared" si="15"/>
        <v>-549.32000000000005</v>
      </c>
      <c r="L118" s="189"/>
      <c r="M118" s="138"/>
      <c r="N118" s="139"/>
      <c r="O118" s="139"/>
      <c r="S118" s="72"/>
      <c r="T118" s="72"/>
      <c r="U118" s="72"/>
      <c r="V118" s="72"/>
    </row>
    <row r="119" spans="1:22" s="63" customFormat="1" ht="22.5" x14ac:dyDescent="0.25">
      <c r="A119" s="84">
        <v>1.101</v>
      </c>
      <c r="B119" s="81" t="s">
        <v>38</v>
      </c>
      <c r="C119" s="80">
        <v>58.2</v>
      </c>
      <c r="D119" s="131" t="s">
        <v>288</v>
      </c>
      <c r="E119" s="83" t="s">
        <v>289</v>
      </c>
      <c r="F119" s="81" t="s">
        <v>226</v>
      </c>
      <c r="G119" s="90">
        <v>6.3489999999999996E-3</v>
      </c>
      <c r="H119" s="85"/>
      <c r="I119" s="86">
        <v>830.9</v>
      </c>
      <c r="J119" s="185">
        <f t="shared" si="14"/>
        <v>149009.72</v>
      </c>
      <c r="K119" s="189">
        <f t="shared" si="15"/>
        <v>946.06</v>
      </c>
      <c r="L119" s="189"/>
      <c r="M119" s="138"/>
      <c r="N119" s="139"/>
      <c r="O119" s="139"/>
      <c r="S119" s="72"/>
      <c r="T119" s="72"/>
      <c r="U119" s="72"/>
      <c r="V119" s="72"/>
    </row>
    <row r="120" spans="1:22" s="63" customFormat="1" ht="22.5" x14ac:dyDescent="0.25">
      <c r="A120" s="84">
        <v>1.1020000000000001</v>
      </c>
      <c r="B120" s="81" t="s">
        <v>38</v>
      </c>
      <c r="C120" s="80">
        <v>58.3</v>
      </c>
      <c r="D120" s="131" t="s">
        <v>290</v>
      </c>
      <c r="E120" s="83" t="s">
        <v>291</v>
      </c>
      <c r="F120" s="81" t="s">
        <v>219</v>
      </c>
      <c r="G120" s="82">
        <v>256</v>
      </c>
      <c r="H120" s="85"/>
      <c r="I120" s="86">
        <v>16811.53</v>
      </c>
      <c r="J120" s="185">
        <f t="shared" si="14"/>
        <v>74.77</v>
      </c>
      <c r="K120" s="189">
        <f t="shared" si="15"/>
        <v>19141.12</v>
      </c>
      <c r="L120" s="189"/>
      <c r="M120" s="138"/>
      <c r="N120" s="139"/>
      <c r="O120" s="139"/>
      <c r="S120" s="72"/>
      <c r="T120" s="72"/>
      <c r="U120" s="72"/>
      <c r="V120" s="72"/>
    </row>
    <row r="121" spans="1:22" s="63" customFormat="1" ht="22.5" x14ac:dyDescent="0.25">
      <c r="A121" s="84">
        <v>1.103</v>
      </c>
      <c r="B121" s="81" t="s">
        <v>38</v>
      </c>
      <c r="C121" s="80">
        <v>58.4</v>
      </c>
      <c r="D121" s="131" t="s">
        <v>292</v>
      </c>
      <c r="E121" s="83" t="s">
        <v>293</v>
      </c>
      <c r="F121" s="81" t="s">
        <v>219</v>
      </c>
      <c r="G121" s="82">
        <v>256</v>
      </c>
      <c r="H121" s="85"/>
      <c r="I121" s="86">
        <v>12048.38</v>
      </c>
      <c r="J121" s="185">
        <f t="shared" si="14"/>
        <v>53.59</v>
      </c>
      <c r="K121" s="189">
        <f t="shared" si="15"/>
        <v>13719.04</v>
      </c>
      <c r="L121" s="189"/>
      <c r="M121" s="138"/>
      <c r="N121" s="139"/>
      <c r="O121" s="139"/>
      <c r="S121" s="72"/>
      <c r="T121" s="72"/>
      <c r="U121" s="72"/>
      <c r="V121" s="72"/>
    </row>
    <row r="122" spans="1:22" s="128" customFormat="1" ht="12.75" x14ac:dyDescent="0.25">
      <c r="A122" s="242"/>
      <c r="B122" s="125"/>
      <c r="C122" s="236"/>
      <c r="D122" s="77"/>
      <c r="E122" s="126" t="s">
        <v>3213</v>
      </c>
      <c r="F122" s="125"/>
      <c r="G122" s="76"/>
      <c r="H122" s="127"/>
      <c r="I122" s="78"/>
      <c r="J122" s="238"/>
      <c r="K122" s="239"/>
      <c r="L122" s="239"/>
      <c r="M122" s="79"/>
      <c r="N122" s="129"/>
      <c r="O122" s="129"/>
      <c r="S122" s="129"/>
      <c r="T122" s="129"/>
      <c r="U122" s="129"/>
      <c r="V122" s="129"/>
    </row>
    <row r="123" spans="1:22" s="128" customFormat="1" ht="12.75" x14ac:dyDescent="0.25">
      <c r="A123" s="242"/>
      <c r="B123" s="125"/>
      <c r="C123" s="236"/>
      <c r="D123" s="77"/>
      <c r="E123" s="126" t="s">
        <v>3214</v>
      </c>
      <c r="F123" s="125"/>
      <c r="G123" s="76"/>
      <c r="H123" s="127"/>
      <c r="I123" s="78"/>
      <c r="J123" s="238"/>
      <c r="K123" s="239"/>
      <c r="L123" s="239"/>
      <c r="M123" s="79"/>
      <c r="N123" s="129"/>
      <c r="O123" s="129"/>
      <c r="S123" s="129"/>
      <c r="T123" s="129"/>
      <c r="U123" s="129"/>
      <c r="V123" s="129"/>
    </row>
    <row r="124" spans="1:22" s="63" customFormat="1" ht="15" x14ac:dyDescent="0.25">
      <c r="A124" s="84">
        <v>1.1040000000000001</v>
      </c>
      <c r="B124" s="81" t="s">
        <v>38</v>
      </c>
      <c r="C124" s="82">
        <v>59</v>
      </c>
      <c r="D124" s="131" t="s">
        <v>294</v>
      </c>
      <c r="E124" s="83" t="s">
        <v>295</v>
      </c>
      <c r="F124" s="81" t="s">
        <v>196</v>
      </c>
      <c r="G124" s="88">
        <v>1.44E-2</v>
      </c>
      <c r="H124" s="85"/>
      <c r="I124" s="86">
        <v>2894.11</v>
      </c>
      <c r="J124" s="185">
        <f t="shared" ref="J124:J130" si="16">ROUND($I124/$G124*$N$11,2)</f>
        <v>228835.67</v>
      </c>
      <c r="K124" s="189">
        <f t="shared" ref="K124:K130" si="17">ROUND(G124*J124,2)</f>
        <v>3295.23</v>
      </c>
      <c r="L124" s="189"/>
      <c r="M124" s="138"/>
      <c r="N124" s="139"/>
      <c r="O124" s="139"/>
      <c r="S124" s="72"/>
      <c r="T124" s="72"/>
      <c r="U124" s="72"/>
      <c r="V124" s="72"/>
    </row>
    <row r="125" spans="1:22" s="63" customFormat="1" ht="22.5" x14ac:dyDescent="0.25">
      <c r="A125" s="84">
        <v>1.105</v>
      </c>
      <c r="B125" s="81" t="s">
        <v>38</v>
      </c>
      <c r="C125" s="80">
        <v>59.1</v>
      </c>
      <c r="D125" s="131" t="s">
        <v>296</v>
      </c>
      <c r="E125" s="83" t="s">
        <v>297</v>
      </c>
      <c r="F125" s="81" t="s">
        <v>205</v>
      </c>
      <c r="G125" s="88">
        <v>1.4688000000000001</v>
      </c>
      <c r="H125" s="85"/>
      <c r="I125" s="86">
        <v>6090.7</v>
      </c>
      <c r="J125" s="185">
        <f t="shared" si="16"/>
        <v>4721.45</v>
      </c>
      <c r="K125" s="189">
        <f t="shared" si="17"/>
        <v>6934.87</v>
      </c>
      <c r="L125" s="189"/>
      <c r="M125" s="138"/>
      <c r="N125" s="139"/>
      <c r="O125" s="139"/>
      <c r="S125" s="72"/>
      <c r="T125" s="72"/>
      <c r="U125" s="72"/>
      <c r="V125" s="72"/>
    </row>
    <row r="126" spans="1:22" s="63" customFormat="1" ht="22.5" x14ac:dyDescent="0.25">
      <c r="A126" s="84">
        <v>1.1060000000000001</v>
      </c>
      <c r="B126" s="81" t="s">
        <v>38</v>
      </c>
      <c r="C126" s="82">
        <v>60</v>
      </c>
      <c r="D126" s="131" t="s">
        <v>298</v>
      </c>
      <c r="E126" s="83" t="s">
        <v>299</v>
      </c>
      <c r="F126" s="81" t="s">
        <v>196</v>
      </c>
      <c r="G126" s="87">
        <v>0.09</v>
      </c>
      <c r="H126" s="85"/>
      <c r="I126" s="86">
        <v>49670.57</v>
      </c>
      <c r="J126" s="185">
        <f t="shared" si="16"/>
        <v>628387.9</v>
      </c>
      <c r="K126" s="189">
        <f t="shared" si="17"/>
        <v>56554.91</v>
      </c>
      <c r="L126" s="189"/>
      <c r="M126" s="138"/>
      <c r="N126" s="139"/>
      <c r="O126" s="139"/>
      <c r="S126" s="72"/>
      <c r="T126" s="72"/>
      <c r="U126" s="72"/>
      <c r="V126" s="72"/>
    </row>
    <row r="127" spans="1:22" s="63" customFormat="1" ht="22.5" x14ac:dyDescent="0.25">
      <c r="A127" s="84">
        <v>1.107</v>
      </c>
      <c r="B127" s="81" t="s">
        <v>38</v>
      </c>
      <c r="C127" s="80">
        <v>60.1</v>
      </c>
      <c r="D127" s="131" t="s">
        <v>233</v>
      </c>
      <c r="E127" s="83" t="s">
        <v>234</v>
      </c>
      <c r="F127" s="81" t="s">
        <v>205</v>
      </c>
      <c r="G127" s="84">
        <v>9.1349999999999998</v>
      </c>
      <c r="H127" s="85"/>
      <c r="I127" s="86">
        <v>69000.44</v>
      </c>
      <c r="J127" s="185">
        <f t="shared" si="16"/>
        <v>8600.32</v>
      </c>
      <c r="K127" s="189">
        <f t="shared" si="17"/>
        <v>78563.92</v>
      </c>
      <c r="L127" s="189"/>
      <c r="M127" s="138"/>
      <c r="N127" s="139"/>
      <c r="O127" s="139"/>
      <c r="S127" s="72"/>
      <c r="T127" s="72"/>
      <c r="U127" s="72"/>
      <c r="V127" s="72"/>
    </row>
    <row r="128" spans="1:22" s="63" customFormat="1" ht="22.5" x14ac:dyDescent="0.25">
      <c r="A128" s="84">
        <v>1.1080000000000001</v>
      </c>
      <c r="B128" s="81" t="s">
        <v>38</v>
      </c>
      <c r="C128" s="80">
        <v>60.2</v>
      </c>
      <c r="D128" s="131" t="s">
        <v>235</v>
      </c>
      <c r="E128" s="83" t="s">
        <v>3435</v>
      </c>
      <c r="F128" s="81" t="s">
        <v>205</v>
      </c>
      <c r="G128" s="84">
        <v>9.1349999999999998</v>
      </c>
      <c r="H128" s="85"/>
      <c r="I128" s="86">
        <v>1047.22</v>
      </c>
      <c r="J128" s="185">
        <f t="shared" si="16"/>
        <v>130.53</v>
      </c>
      <c r="K128" s="189">
        <f t="shared" si="17"/>
        <v>1192.3900000000001</v>
      </c>
      <c r="L128" s="189"/>
      <c r="M128" s="138"/>
      <c r="N128" s="139"/>
      <c r="O128" s="139"/>
      <c r="S128" s="72"/>
      <c r="T128" s="72"/>
      <c r="U128" s="72"/>
      <c r="V128" s="72"/>
    </row>
    <row r="129" spans="1:22" s="63" customFormat="1" ht="22.5" x14ac:dyDescent="0.25">
      <c r="A129" s="84">
        <v>1.109</v>
      </c>
      <c r="B129" s="81" t="s">
        <v>38</v>
      </c>
      <c r="C129" s="80">
        <v>60.3</v>
      </c>
      <c r="D129" s="131" t="s">
        <v>278</v>
      </c>
      <c r="E129" s="83" t="s">
        <v>279</v>
      </c>
      <c r="F129" s="81" t="s">
        <v>226</v>
      </c>
      <c r="G129" s="88">
        <v>0.41570000000000001</v>
      </c>
      <c r="H129" s="85"/>
      <c r="I129" s="86">
        <v>21420.42</v>
      </c>
      <c r="J129" s="185">
        <f t="shared" si="16"/>
        <v>58670.41</v>
      </c>
      <c r="K129" s="189">
        <f t="shared" si="17"/>
        <v>24389.29</v>
      </c>
      <c r="L129" s="189"/>
      <c r="M129" s="138"/>
      <c r="N129" s="139"/>
      <c r="O129" s="139"/>
      <c r="S129" s="72"/>
      <c r="T129" s="72"/>
      <c r="U129" s="72"/>
      <c r="V129" s="72"/>
    </row>
    <row r="130" spans="1:22" s="63" customFormat="1" ht="22.5" x14ac:dyDescent="0.25">
      <c r="A130" s="84">
        <v>1.1100000000000001</v>
      </c>
      <c r="B130" s="81" t="s">
        <v>38</v>
      </c>
      <c r="C130" s="80">
        <v>60.4</v>
      </c>
      <c r="D130" s="131" t="s">
        <v>276</v>
      </c>
      <c r="E130" s="83" t="s">
        <v>277</v>
      </c>
      <c r="F130" s="81" t="s">
        <v>226</v>
      </c>
      <c r="G130" s="84">
        <v>4.1000000000000002E-2</v>
      </c>
      <c r="H130" s="85"/>
      <c r="I130" s="86">
        <v>2027.93</v>
      </c>
      <c r="J130" s="185">
        <f t="shared" si="16"/>
        <v>56317.1</v>
      </c>
      <c r="K130" s="189">
        <f t="shared" si="17"/>
        <v>2309</v>
      </c>
      <c r="L130" s="189"/>
      <c r="M130" s="138"/>
      <c r="N130" s="139"/>
      <c r="O130" s="139"/>
      <c r="S130" s="72"/>
      <c r="T130" s="72"/>
      <c r="U130" s="72"/>
      <c r="V130" s="72"/>
    </row>
    <row r="131" spans="1:22" s="128" customFormat="1" ht="12.75" x14ac:dyDescent="0.25">
      <c r="A131" s="242"/>
      <c r="B131" s="125"/>
      <c r="C131" s="236"/>
      <c r="D131" s="77"/>
      <c r="E131" s="126" t="s">
        <v>3215</v>
      </c>
      <c r="F131" s="125"/>
      <c r="G131" s="242"/>
      <c r="H131" s="127"/>
      <c r="I131" s="78"/>
      <c r="J131" s="238"/>
      <c r="K131" s="239"/>
      <c r="L131" s="239"/>
      <c r="M131" s="79"/>
      <c r="N131" s="129"/>
      <c r="O131" s="129"/>
      <c r="S131" s="129"/>
      <c r="T131" s="129"/>
      <c r="U131" s="129"/>
      <c r="V131" s="129"/>
    </row>
    <row r="132" spans="1:22" s="63" customFormat="1" ht="15" x14ac:dyDescent="0.25">
      <c r="A132" s="84">
        <v>1.111</v>
      </c>
      <c r="B132" s="81" t="s">
        <v>38</v>
      </c>
      <c r="C132" s="82">
        <v>61</v>
      </c>
      <c r="D132" s="131" t="s">
        <v>294</v>
      </c>
      <c r="E132" s="83" t="s">
        <v>295</v>
      </c>
      <c r="F132" s="81" t="s">
        <v>196</v>
      </c>
      <c r="G132" s="84">
        <v>2.4E-2</v>
      </c>
      <c r="H132" s="85"/>
      <c r="I132" s="86">
        <v>4822.67</v>
      </c>
      <c r="J132" s="185">
        <f t="shared" ref="J132:J138" si="18">ROUND($I132/$G132*$N$11,2)</f>
        <v>228795.5</v>
      </c>
      <c r="K132" s="189">
        <f t="shared" ref="K132:K138" si="19">ROUND(G132*J132,2)</f>
        <v>5491.09</v>
      </c>
      <c r="L132" s="189"/>
      <c r="M132" s="138"/>
      <c r="N132" s="139"/>
      <c r="O132" s="139"/>
      <c r="S132" s="72"/>
      <c r="T132" s="72"/>
      <c r="U132" s="72"/>
      <c r="V132" s="72"/>
    </row>
    <row r="133" spans="1:22" s="63" customFormat="1" ht="22.5" x14ac:dyDescent="0.25">
      <c r="A133" s="84">
        <v>1.1120000000000001</v>
      </c>
      <c r="B133" s="81" t="s">
        <v>38</v>
      </c>
      <c r="C133" s="80">
        <v>61.1</v>
      </c>
      <c r="D133" s="131" t="s">
        <v>296</v>
      </c>
      <c r="E133" s="83" t="s">
        <v>297</v>
      </c>
      <c r="F133" s="81" t="s">
        <v>205</v>
      </c>
      <c r="G133" s="84">
        <v>2.448</v>
      </c>
      <c r="H133" s="85"/>
      <c r="I133" s="86">
        <v>10151.08</v>
      </c>
      <c r="J133" s="185">
        <f t="shared" si="18"/>
        <v>4721.41</v>
      </c>
      <c r="K133" s="189">
        <f t="shared" si="19"/>
        <v>11558.01</v>
      </c>
      <c r="L133" s="189"/>
      <c r="M133" s="138"/>
      <c r="N133" s="139"/>
      <c r="O133" s="139"/>
      <c r="S133" s="72"/>
      <c r="T133" s="72"/>
      <c r="U133" s="72"/>
      <c r="V133" s="72"/>
    </row>
    <row r="134" spans="1:22" s="63" customFormat="1" ht="15" x14ac:dyDescent="0.25">
      <c r="A134" s="84">
        <v>1.113</v>
      </c>
      <c r="B134" s="81" t="s">
        <v>38</v>
      </c>
      <c r="C134" s="82">
        <v>62</v>
      </c>
      <c r="D134" s="131" t="s">
        <v>300</v>
      </c>
      <c r="E134" s="83" t="s">
        <v>301</v>
      </c>
      <c r="F134" s="81" t="s">
        <v>196</v>
      </c>
      <c r="G134" s="84">
        <v>4.3999999999999997E-2</v>
      </c>
      <c r="H134" s="85"/>
      <c r="I134" s="86">
        <v>11903.14</v>
      </c>
      <c r="J134" s="185">
        <f t="shared" si="18"/>
        <v>308020.8</v>
      </c>
      <c r="K134" s="189">
        <f t="shared" si="19"/>
        <v>13552.92</v>
      </c>
      <c r="L134" s="189"/>
      <c r="M134" s="138"/>
      <c r="N134" s="139"/>
      <c r="O134" s="139"/>
      <c r="S134" s="72"/>
      <c r="T134" s="72"/>
      <c r="U134" s="72"/>
      <c r="V134" s="72"/>
    </row>
    <row r="135" spans="1:22" s="63" customFormat="1" ht="22.5" x14ac:dyDescent="0.25">
      <c r="A135" s="84">
        <v>1.1140000000000001</v>
      </c>
      <c r="B135" s="81" t="s">
        <v>38</v>
      </c>
      <c r="C135" s="80">
        <v>62.1</v>
      </c>
      <c r="D135" s="131" t="s">
        <v>233</v>
      </c>
      <c r="E135" s="83" t="s">
        <v>234</v>
      </c>
      <c r="F135" s="81" t="s">
        <v>205</v>
      </c>
      <c r="G135" s="84">
        <v>4.4660000000000002</v>
      </c>
      <c r="H135" s="85"/>
      <c r="I135" s="86">
        <v>33733.519999999997</v>
      </c>
      <c r="J135" s="185">
        <f t="shared" si="18"/>
        <v>8600.31</v>
      </c>
      <c r="K135" s="189">
        <f t="shared" si="19"/>
        <v>38408.980000000003</v>
      </c>
      <c r="L135" s="189"/>
      <c r="M135" s="138"/>
      <c r="N135" s="139"/>
      <c r="O135" s="139"/>
      <c r="S135" s="72"/>
      <c r="T135" s="72"/>
      <c r="U135" s="72"/>
      <c r="V135" s="72"/>
    </row>
    <row r="136" spans="1:22" s="63" customFormat="1" ht="22.5" x14ac:dyDescent="0.25">
      <c r="A136" s="84">
        <v>1.115</v>
      </c>
      <c r="B136" s="81" t="s">
        <v>38</v>
      </c>
      <c r="C136" s="80">
        <v>62.2</v>
      </c>
      <c r="D136" s="131" t="s">
        <v>235</v>
      </c>
      <c r="E136" s="83" t="s">
        <v>3433</v>
      </c>
      <c r="F136" s="81" t="s">
        <v>205</v>
      </c>
      <c r="G136" s="84">
        <v>4.4660000000000002</v>
      </c>
      <c r="H136" s="85"/>
      <c r="I136" s="86">
        <v>512.02</v>
      </c>
      <c r="J136" s="185">
        <f t="shared" si="18"/>
        <v>130.54</v>
      </c>
      <c r="K136" s="189">
        <f t="shared" si="19"/>
        <v>582.99</v>
      </c>
      <c r="L136" s="189"/>
      <c r="M136" s="138"/>
      <c r="N136" s="139"/>
      <c r="O136" s="139"/>
      <c r="S136" s="72"/>
      <c r="T136" s="72"/>
      <c r="U136" s="72"/>
      <c r="V136" s="72"/>
    </row>
    <row r="137" spans="1:22" s="63" customFormat="1" ht="22.5" x14ac:dyDescent="0.25">
      <c r="A137" s="84">
        <v>1.1160000000000001</v>
      </c>
      <c r="B137" s="81" t="s">
        <v>38</v>
      </c>
      <c r="C137" s="80">
        <v>62.3</v>
      </c>
      <c r="D137" s="131" t="s">
        <v>278</v>
      </c>
      <c r="E137" s="83" t="s">
        <v>279</v>
      </c>
      <c r="F137" s="81" t="s">
        <v>226</v>
      </c>
      <c r="G137" s="88">
        <v>0.27150000000000002</v>
      </c>
      <c r="H137" s="85"/>
      <c r="I137" s="86">
        <v>13990</v>
      </c>
      <c r="J137" s="185">
        <f t="shared" si="18"/>
        <v>58670.400000000001</v>
      </c>
      <c r="K137" s="189">
        <f t="shared" si="19"/>
        <v>15929.01</v>
      </c>
      <c r="L137" s="189"/>
      <c r="M137" s="138"/>
      <c r="N137" s="139"/>
      <c r="O137" s="139"/>
      <c r="S137" s="72"/>
      <c r="T137" s="72"/>
      <c r="U137" s="72"/>
      <c r="V137" s="72"/>
    </row>
    <row r="138" spans="1:22" s="63" customFormat="1" ht="22.5" x14ac:dyDescent="0.25">
      <c r="A138" s="84">
        <v>1.117</v>
      </c>
      <c r="B138" s="81" t="s">
        <v>38</v>
      </c>
      <c r="C138" s="80">
        <v>62.4</v>
      </c>
      <c r="D138" s="131" t="s">
        <v>224</v>
      </c>
      <c r="E138" s="83" t="s">
        <v>225</v>
      </c>
      <c r="F138" s="81" t="s">
        <v>226</v>
      </c>
      <c r="G138" s="84">
        <v>3.5000000000000003E-2</v>
      </c>
      <c r="H138" s="85"/>
      <c r="I138" s="86">
        <v>1727.6</v>
      </c>
      <c r="J138" s="185">
        <f t="shared" si="18"/>
        <v>56201.3</v>
      </c>
      <c r="K138" s="189">
        <f t="shared" si="19"/>
        <v>1967.05</v>
      </c>
      <c r="L138" s="189"/>
      <c r="M138" s="138"/>
      <c r="N138" s="139"/>
      <c r="O138" s="139"/>
      <c r="S138" s="72"/>
      <c r="T138" s="72"/>
      <c r="U138" s="72"/>
      <c r="V138" s="72"/>
    </row>
    <row r="139" spans="1:22" s="128" customFormat="1" ht="12.75" x14ac:dyDescent="0.25">
      <c r="A139" s="242"/>
      <c r="B139" s="125"/>
      <c r="C139" s="236"/>
      <c r="D139" s="77"/>
      <c r="E139" s="126" t="s">
        <v>3216</v>
      </c>
      <c r="F139" s="125"/>
      <c r="G139" s="242"/>
      <c r="H139" s="127"/>
      <c r="I139" s="78"/>
      <c r="J139" s="238"/>
      <c r="K139" s="239"/>
      <c r="L139" s="239"/>
      <c r="M139" s="79"/>
      <c r="N139" s="129"/>
      <c r="O139" s="129"/>
      <c r="S139" s="129"/>
      <c r="T139" s="129"/>
      <c r="U139" s="129"/>
      <c r="V139" s="129"/>
    </row>
    <row r="140" spans="1:22" s="63" customFormat="1" ht="15" x14ac:dyDescent="0.25">
      <c r="A140" s="84">
        <v>1.1180000000000001</v>
      </c>
      <c r="B140" s="81" t="s">
        <v>38</v>
      </c>
      <c r="C140" s="82">
        <v>63</v>
      </c>
      <c r="D140" s="131" t="s">
        <v>294</v>
      </c>
      <c r="E140" s="83" t="s">
        <v>295</v>
      </c>
      <c r="F140" s="81" t="s">
        <v>196</v>
      </c>
      <c r="G140" s="88">
        <v>2.7000000000000001E-3</v>
      </c>
      <c r="H140" s="85"/>
      <c r="I140" s="86">
        <v>542.84</v>
      </c>
      <c r="J140" s="185">
        <f t="shared" ref="J140:J145" si="20">ROUND($I140/$G140*$N$11,2)</f>
        <v>228917.64</v>
      </c>
      <c r="K140" s="189">
        <f t="shared" ref="K140:K145" si="21">ROUND(G140*J140,2)</f>
        <v>618.08000000000004</v>
      </c>
      <c r="L140" s="189"/>
      <c r="M140" s="138"/>
      <c r="N140" s="139"/>
      <c r="O140" s="139"/>
      <c r="S140" s="72"/>
      <c r="T140" s="72"/>
      <c r="U140" s="72"/>
      <c r="V140" s="72"/>
    </row>
    <row r="141" spans="1:22" s="63" customFormat="1" ht="22.5" x14ac:dyDescent="0.25">
      <c r="A141" s="84">
        <v>1.119</v>
      </c>
      <c r="B141" s="81" t="s">
        <v>38</v>
      </c>
      <c r="C141" s="80">
        <v>63.1</v>
      </c>
      <c r="D141" s="131" t="s">
        <v>296</v>
      </c>
      <c r="E141" s="83" t="s">
        <v>297</v>
      </c>
      <c r="F141" s="81" t="s">
        <v>205</v>
      </c>
      <c r="G141" s="88">
        <v>0.27539999999999998</v>
      </c>
      <c r="H141" s="85"/>
      <c r="I141" s="86">
        <v>1141.97</v>
      </c>
      <c r="J141" s="185">
        <f t="shared" si="20"/>
        <v>4721.3</v>
      </c>
      <c r="K141" s="189">
        <f t="shared" si="21"/>
        <v>1300.25</v>
      </c>
      <c r="L141" s="189"/>
      <c r="M141" s="138"/>
      <c r="N141" s="139"/>
      <c r="O141" s="139"/>
      <c r="S141" s="72"/>
      <c r="T141" s="72"/>
      <c r="U141" s="72"/>
      <c r="V141" s="72"/>
    </row>
    <row r="142" spans="1:22" s="63" customFormat="1" ht="15" x14ac:dyDescent="0.25">
      <c r="A142" s="84">
        <v>1.1200000000000001</v>
      </c>
      <c r="B142" s="81" t="s">
        <v>38</v>
      </c>
      <c r="C142" s="82">
        <v>64</v>
      </c>
      <c r="D142" s="131" t="s">
        <v>302</v>
      </c>
      <c r="E142" s="83" t="s">
        <v>303</v>
      </c>
      <c r="F142" s="81" t="s">
        <v>205</v>
      </c>
      <c r="G142" s="87">
        <v>0.45</v>
      </c>
      <c r="H142" s="85"/>
      <c r="I142" s="86">
        <v>1369.42</v>
      </c>
      <c r="J142" s="185">
        <f t="shared" si="20"/>
        <v>3464.94</v>
      </c>
      <c r="K142" s="189">
        <f t="shared" si="21"/>
        <v>1559.22</v>
      </c>
      <c r="L142" s="189"/>
      <c r="M142" s="138"/>
      <c r="N142" s="139"/>
      <c r="O142" s="139"/>
      <c r="S142" s="72"/>
      <c r="T142" s="72"/>
      <c r="U142" s="72"/>
      <c r="V142" s="72"/>
    </row>
    <row r="143" spans="1:22" s="63" customFormat="1" ht="22.5" x14ac:dyDescent="0.25">
      <c r="A143" s="84">
        <v>1.121</v>
      </c>
      <c r="B143" s="81" t="s">
        <v>38</v>
      </c>
      <c r="C143" s="80">
        <v>64.099999999999994</v>
      </c>
      <c r="D143" s="131" t="s">
        <v>233</v>
      </c>
      <c r="E143" s="83" t="s">
        <v>234</v>
      </c>
      <c r="F143" s="81" t="s">
        <v>205</v>
      </c>
      <c r="G143" s="89">
        <v>0.45674999999999999</v>
      </c>
      <c r="H143" s="85"/>
      <c r="I143" s="86">
        <v>3450.06</v>
      </c>
      <c r="J143" s="185">
        <f t="shared" si="20"/>
        <v>8600.41</v>
      </c>
      <c r="K143" s="189">
        <f t="shared" si="21"/>
        <v>3928.24</v>
      </c>
      <c r="L143" s="189"/>
      <c r="M143" s="138"/>
      <c r="N143" s="139"/>
      <c r="O143" s="139"/>
      <c r="S143" s="72"/>
      <c r="T143" s="72"/>
      <c r="U143" s="72"/>
      <c r="V143" s="72"/>
    </row>
    <row r="144" spans="1:22" s="63" customFormat="1" ht="22.5" x14ac:dyDescent="0.25">
      <c r="A144" s="84">
        <v>1.1220000000000001</v>
      </c>
      <c r="B144" s="81" t="s">
        <v>38</v>
      </c>
      <c r="C144" s="80">
        <v>64.2</v>
      </c>
      <c r="D144" s="131" t="s">
        <v>235</v>
      </c>
      <c r="E144" s="83" t="s">
        <v>3433</v>
      </c>
      <c r="F144" s="81" t="s">
        <v>205</v>
      </c>
      <c r="G144" s="89">
        <v>0.45674999999999999</v>
      </c>
      <c r="H144" s="85"/>
      <c r="I144" s="86">
        <v>52.39</v>
      </c>
      <c r="J144" s="185">
        <f t="shared" si="20"/>
        <v>130.6</v>
      </c>
      <c r="K144" s="189">
        <f t="shared" si="21"/>
        <v>59.65</v>
      </c>
      <c r="L144" s="189"/>
      <c r="M144" s="138"/>
      <c r="N144" s="139"/>
      <c r="O144" s="139"/>
      <c r="S144" s="72"/>
      <c r="T144" s="72"/>
      <c r="U144" s="72"/>
      <c r="V144" s="72"/>
    </row>
    <row r="145" spans="1:22" s="63" customFormat="1" ht="22.5" x14ac:dyDescent="0.25">
      <c r="A145" s="84">
        <v>1.123</v>
      </c>
      <c r="B145" s="81" t="s">
        <v>38</v>
      </c>
      <c r="C145" s="80">
        <v>64.3</v>
      </c>
      <c r="D145" s="131" t="s">
        <v>278</v>
      </c>
      <c r="E145" s="83" t="s">
        <v>279</v>
      </c>
      <c r="F145" s="81" t="s">
        <v>226</v>
      </c>
      <c r="G145" s="84">
        <v>2.8000000000000001E-2</v>
      </c>
      <c r="H145" s="85"/>
      <c r="I145" s="86">
        <v>1442.82</v>
      </c>
      <c r="J145" s="185">
        <f t="shared" si="20"/>
        <v>58671.24</v>
      </c>
      <c r="K145" s="189">
        <f t="shared" si="21"/>
        <v>1642.79</v>
      </c>
      <c r="L145" s="189"/>
      <c r="M145" s="138"/>
      <c r="N145" s="139"/>
      <c r="O145" s="139"/>
      <c r="S145" s="72"/>
      <c r="T145" s="72"/>
      <c r="U145" s="72"/>
      <c r="V145" s="72"/>
    </row>
    <row r="146" spans="1:22" s="128" customFormat="1" ht="12.75" x14ac:dyDescent="0.25">
      <c r="A146" s="242"/>
      <c r="B146" s="125"/>
      <c r="C146" s="236"/>
      <c r="D146" s="77"/>
      <c r="E146" s="126" t="s">
        <v>3217</v>
      </c>
      <c r="F146" s="125"/>
      <c r="G146" s="242"/>
      <c r="H146" s="127"/>
      <c r="I146" s="78"/>
      <c r="J146" s="238"/>
      <c r="K146" s="239"/>
      <c r="L146" s="239"/>
      <c r="M146" s="79"/>
      <c r="N146" s="129"/>
      <c r="O146" s="129"/>
      <c r="S146" s="129"/>
      <c r="T146" s="129"/>
      <c r="U146" s="129"/>
      <c r="V146" s="129"/>
    </row>
    <row r="147" spans="1:22" s="63" customFormat="1" ht="15" x14ac:dyDescent="0.25">
      <c r="A147" s="84">
        <v>1.1240000000000001</v>
      </c>
      <c r="B147" s="81" t="s">
        <v>38</v>
      </c>
      <c r="C147" s="82">
        <v>65</v>
      </c>
      <c r="D147" s="131" t="s">
        <v>203</v>
      </c>
      <c r="E147" s="83" t="s">
        <v>204</v>
      </c>
      <c r="F147" s="81" t="s">
        <v>205</v>
      </c>
      <c r="G147" s="84">
        <v>6.6000000000000003E-2</v>
      </c>
      <c r="H147" s="85"/>
      <c r="I147" s="86">
        <v>341.78</v>
      </c>
      <c r="J147" s="185">
        <f>ROUND($I147/$G147*$N$11,2)</f>
        <v>5896.22</v>
      </c>
      <c r="K147" s="189">
        <f>ROUND(G147*J147,2)</f>
        <v>389.15</v>
      </c>
      <c r="L147" s="189"/>
      <c r="M147" s="138"/>
      <c r="N147" s="139"/>
      <c r="O147" s="139"/>
      <c r="S147" s="72"/>
      <c r="T147" s="72"/>
      <c r="U147" s="72"/>
      <c r="V147" s="72"/>
    </row>
    <row r="148" spans="1:22" s="63" customFormat="1" ht="33.75" x14ac:dyDescent="0.25">
      <c r="A148" s="84">
        <v>1.125</v>
      </c>
      <c r="B148" s="81" t="s">
        <v>38</v>
      </c>
      <c r="C148" s="82">
        <v>66</v>
      </c>
      <c r="D148" s="131" t="s">
        <v>206</v>
      </c>
      <c r="E148" s="83" t="s">
        <v>304</v>
      </c>
      <c r="F148" s="81" t="s">
        <v>207</v>
      </c>
      <c r="G148" s="87">
        <v>0.22</v>
      </c>
      <c r="H148" s="85"/>
      <c r="I148" s="86">
        <v>4047.65</v>
      </c>
      <c r="J148" s="185">
        <f>ROUND($I148/$G148*$N$11,2)</f>
        <v>20948.43</v>
      </c>
      <c r="K148" s="189">
        <f>ROUND(G148*J148,2)</f>
        <v>4608.6499999999996</v>
      </c>
      <c r="L148" s="189"/>
      <c r="M148" s="138"/>
      <c r="N148" s="139"/>
      <c r="O148" s="139"/>
      <c r="S148" s="72"/>
      <c r="T148" s="72"/>
      <c r="U148" s="72"/>
      <c r="V148" s="72"/>
    </row>
    <row r="149" spans="1:22" s="63" customFormat="1" ht="22.5" x14ac:dyDescent="0.25">
      <c r="A149" s="84">
        <v>1.1259999999999999</v>
      </c>
      <c r="B149" s="81" t="s">
        <v>38</v>
      </c>
      <c r="C149" s="80">
        <v>66.099999999999994</v>
      </c>
      <c r="D149" s="131" t="s">
        <v>208</v>
      </c>
      <c r="E149" s="83" t="s">
        <v>209</v>
      </c>
      <c r="F149" s="81" t="s">
        <v>210</v>
      </c>
      <c r="G149" s="82">
        <v>88</v>
      </c>
      <c r="H149" s="85"/>
      <c r="I149" s="86">
        <v>15410</v>
      </c>
      <c r="J149" s="185">
        <f>ROUND($I149/$G149*$N$11,2)</f>
        <v>199.38</v>
      </c>
      <c r="K149" s="189">
        <f>ROUND(G149*J149,2)</f>
        <v>17545.439999999999</v>
      </c>
      <c r="L149" s="189"/>
      <c r="M149" s="138"/>
      <c r="N149" s="139"/>
      <c r="O149" s="139"/>
      <c r="S149" s="72"/>
      <c r="T149" s="72"/>
      <c r="U149" s="72"/>
      <c r="V149" s="72"/>
    </row>
    <row r="150" spans="1:22" s="63" customFormat="1" ht="22.5" x14ac:dyDescent="0.25">
      <c r="A150" s="84">
        <v>1.127</v>
      </c>
      <c r="B150" s="81" t="s">
        <v>38</v>
      </c>
      <c r="C150" s="80">
        <v>66.2</v>
      </c>
      <c r="D150" s="131" t="s">
        <v>211</v>
      </c>
      <c r="E150" s="83" t="s">
        <v>212</v>
      </c>
      <c r="F150" s="81" t="s">
        <v>213</v>
      </c>
      <c r="G150" s="80">
        <v>27.5</v>
      </c>
      <c r="H150" s="85"/>
      <c r="I150" s="86">
        <v>29345.56</v>
      </c>
      <c r="J150" s="185">
        <f>ROUND($I150/$G150*$N$11,2)</f>
        <v>1215.01</v>
      </c>
      <c r="K150" s="189">
        <f>ROUND(G150*J150,2)</f>
        <v>33412.78</v>
      </c>
      <c r="L150" s="189"/>
      <c r="M150" s="138"/>
      <c r="N150" s="139"/>
      <c r="O150" s="139"/>
      <c r="S150" s="72"/>
      <c r="T150" s="72"/>
      <c r="U150" s="72"/>
      <c r="V150" s="72"/>
    </row>
    <row r="151" spans="1:22" s="128" customFormat="1" ht="12.75" x14ac:dyDescent="0.25">
      <c r="A151" s="242"/>
      <c r="B151" s="125"/>
      <c r="C151" s="236"/>
      <c r="D151" s="77"/>
      <c r="E151" s="126" t="s">
        <v>3218</v>
      </c>
      <c r="F151" s="125"/>
      <c r="G151" s="236"/>
      <c r="H151" s="127"/>
      <c r="I151" s="78"/>
      <c r="J151" s="238"/>
      <c r="K151" s="239"/>
      <c r="L151" s="239"/>
      <c r="M151" s="79"/>
      <c r="N151" s="129"/>
      <c r="O151" s="129"/>
      <c r="S151" s="129"/>
      <c r="T151" s="129"/>
      <c r="U151" s="129"/>
      <c r="V151" s="129"/>
    </row>
    <row r="152" spans="1:22" s="63" customFormat="1" ht="22.5" x14ac:dyDescent="0.25">
      <c r="A152" s="84">
        <v>1.1279999999999999</v>
      </c>
      <c r="B152" s="81" t="s">
        <v>38</v>
      </c>
      <c r="C152" s="82">
        <v>67</v>
      </c>
      <c r="D152" s="131" t="s">
        <v>305</v>
      </c>
      <c r="E152" s="83" t="s">
        <v>306</v>
      </c>
      <c r="F152" s="81" t="s">
        <v>226</v>
      </c>
      <c r="G152" s="88">
        <v>1.5918000000000001</v>
      </c>
      <c r="H152" s="85"/>
      <c r="I152" s="86">
        <v>114599.41</v>
      </c>
      <c r="J152" s="185">
        <f t="shared" ref="J152:J157" si="22">ROUND($I152/$G152*$N$11,2)</f>
        <v>81971.91</v>
      </c>
      <c r="K152" s="189">
        <f t="shared" ref="K152:K157" si="23">ROUND(G152*J152,2)</f>
        <v>130482.89</v>
      </c>
      <c r="L152" s="189"/>
      <c r="M152" s="138"/>
      <c r="N152" s="139"/>
      <c r="O152" s="139"/>
      <c r="S152" s="72"/>
      <c r="T152" s="72"/>
      <c r="U152" s="72"/>
      <c r="V152" s="72"/>
    </row>
    <row r="153" spans="1:22" s="63" customFormat="1" ht="22.5" x14ac:dyDescent="0.25">
      <c r="A153" s="84">
        <v>1.129</v>
      </c>
      <c r="B153" s="81" t="s">
        <v>38</v>
      </c>
      <c r="C153" s="80">
        <v>67.099999999999994</v>
      </c>
      <c r="D153" s="131" t="s">
        <v>307</v>
      </c>
      <c r="E153" s="83" t="s">
        <v>308</v>
      </c>
      <c r="F153" s="81" t="s">
        <v>226</v>
      </c>
      <c r="G153" s="88">
        <v>1.5808</v>
      </c>
      <c r="H153" s="85"/>
      <c r="I153" s="86">
        <v>117956.41</v>
      </c>
      <c r="J153" s="185">
        <f t="shared" si="22"/>
        <v>84960.25</v>
      </c>
      <c r="K153" s="189">
        <f t="shared" si="23"/>
        <v>134305.16</v>
      </c>
      <c r="L153" s="189"/>
      <c r="M153" s="138"/>
      <c r="N153" s="139"/>
      <c r="O153" s="139"/>
      <c r="S153" s="72"/>
      <c r="T153" s="72"/>
      <c r="U153" s="72"/>
      <c r="V153" s="72"/>
    </row>
    <row r="154" spans="1:22" s="63" customFormat="1" ht="22.5" x14ac:dyDescent="0.25">
      <c r="A154" s="84">
        <v>1.1299999999999999</v>
      </c>
      <c r="B154" s="81" t="s">
        <v>38</v>
      </c>
      <c r="C154" s="80">
        <v>67.2</v>
      </c>
      <c r="D154" s="131" t="s">
        <v>309</v>
      </c>
      <c r="E154" s="83" t="s">
        <v>310</v>
      </c>
      <c r="F154" s="81" t="s">
        <v>226</v>
      </c>
      <c r="G154" s="84">
        <v>1.0999999999999999E-2</v>
      </c>
      <c r="H154" s="85"/>
      <c r="I154" s="86">
        <v>726.65</v>
      </c>
      <c r="J154" s="185">
        <f t="shared" si="22"/>
        <v>75214.880000000005</v>
      </c>
      <c r="K154" s="189">
        <f t="shared" si="23"/>
        <v>827.36</v>
      </c>
      <c r="L154" s="189"/>
      <c r="M154" s="138"/>
      <c r="N154" s="139"/>
      <c r="O154" s="139"/>
      <c r="S154" s="72"/>
      <c r="T154" s="72"/>
      <c r="U154" s="72"/>
      <c r="V154" s="72"/>
    </row>
    <row r="155" spans="1:22" s="63" customFormat="1" ht="22.5" x14ac:dyDescent="0.25">
      <c r="A155" s="84">
        <v>1.131</v>
      </c>
      <c r="B155" s="81" t="s">
        <v>38</v>
      </c>
      <c r="C155" s="82">
        <v>68</v>
      </c>
      <c r="D155" s="131" t="s">
        <v>311</v>
      </c>
      <c r="E155" s="83" t="s">
        <v>312</v>
      </c>
      <c r="F155" s="81" t="s">
        <v>207</v>
      </c>
      <c r="G155" s="87">
        <v>0.28000000000000003</v>
      </c>
      <c r="H155" s="85"/>
      <c r="I155" s="86">
        <v>12303.49</v>
      </c>
      <c r="J155" s="185">
        <f t="shared" si="22"/>
        <v>50031.26</v>
      </c>
      <c r="K155" s="189">
        <f t="shared" si="23"/>
        <v>14008.75</v>
      </c>
      <c r="L155" s="189"/>
      <c r="M155" s="138"/>
      <c r="N155" s="139"/>
      <c r="O155" s="139"/>
      <c r="S155" s="72"/>
      <c r="T155" s="72"/>
      <c r="U155" s="72"/>
      <c r="V155" s="72"/>
    </row>
    <row r="156" spans="1:22" s="63" customFormat="1" ht="22.5" x14ac:dyDescent="0.25">
      <c r="A156" s="84">
        <v>1.1319999999999999</v>
      </c>
      <c r="B156" s="81" t="s">
        <v>38</v>
      </c>
      <c r="C156" s="80">
        <v>68.099999999999994</v>
      </c>
      <c r="D156" s="131" t="s">
        <v>313</v>
      </c>
      <c r="E156" s="83" t="s">
        <v>314</v>
      </c>
      <c r="F156" s="81" t="s">
        <v>226</v>
      </c>
      <c r="G156" s="88">
        <v>0.2772</v>
      </c>
      <c r="H156" s="85"/>
      <c r="I156" s="86">
        <v>22542.68</v>
      </c>
      <c r="J156" s="185">
        <f t="shared" si="22"/>
        <v>92594.14</v>
      </c>
      <c r="K156" s="189">
        <f t="shared" si="23"/>
        <v>25667.1</v>
      </c>
      <c r="L156" s="189"/>
      <c r="M156" s="138"/>
      <c r="N156" s="139"/>
      <c r="O156" s="139"/>
      <c r="S156" s="72"/>
      <c r="T156" s="72"/>
      <c r="U156" s="72"/>
      <c r="V156" s="72"/>
    </row>
    <row r="157" spans="1:22" s="63" customFormat="1" ht="15" x14ac:dyDescent="0.25">
      <c r="A157" s="84">
        <v>1.133</v>
      </c>
      <c r="B157" s="81" t="s">
        <v>38</v>
      </c>
      <c r="C157" s="82">
        <v>69</v>
      </c>
      <c r="D157" s="131" t="s">
        <v>315</v>
      </c>
      <c r="E157" s="83" t="s">
        <v>316</v>
      </c>
      <c r="F157" s="81" t="s">
        <v>207</v>
      </c>
      <c r="G157" s="87">
        <v>0.56000000000000005</v>
      </c>
      <c r="H157" s="85"/>
      <c r="I157" s="86">
        <v>7550.35</v>
      </c>
      <c r="J157" s="185">
        <f t="shared" si="22"/>
        <v>15351.48</v>
      </c>
      <c r="K157" s="189">
        <f t="shared" si="23"/>
        <v>8596.83</v>
      </c>
      <c r="L157" s="189"/>
      <c r="M157" s="138"/>
      <c r="N157" s="139"/>
      <c r="O157" s="139"/>
      <c r="S157" s="72"/>
      <c r="T157" s="72"/>
      <c r="U157" s="72"/>
      <c r="V157" s="72"/>
    </row>
    <row r="158" spans="1:22" s="128" customFormat="1" ht="12.75" x14ac:dyDescent="0.25">
      <c r="A158" s="242"/>
      <c r="B158" s="125"/>
      <c r="C158" s="76"/>
      <c r="D158" s="77"/>
      <c r="E158" s="126" t="s">
        <v>3219</v>
      </c>
      <c r="F158" s="125"/>
      <c r="G158" s="237"/>
      <c r="H158" s="127"/>
      <c r="I158" s="78"/>
      <c r="J158" s="238"/>
      <c r="K158" s="239"/>
      <c r="L158" s="239"/>
      <c r="M158" s="79"/>
      <c r="N158" s="129"/>
      <c r="O158" s="129"/>
      <c r="S158" s="129"/>
      <c r="T158" s="129"/>
      <c r="U158" s="129"/>
      <c r="V158" s="129"/>
    </row>
    <row r="159" spans="1:22" s="128" customFormat="1" ht="12.75" x14ac:dyDescent="0.25">
      <c r="A159" s="242"/>
      <c r="B159" s="125"/>
      <c r="C159" s="76"/>
      <c r="D159" s="77"/>
      <c r="E159" s="126" t="s">
        <v>3215</v>
      </c>
      <c r="F159" s="125"/>
      <c r="G159" s="237"/>
      <c r="H159" s="127"/>
      <c r="I159" s="78"/>
      <c r="J159" s="238"/>
      <c r="K159" s="239"/>
      <c r="L159" s="239"/>
      <c r="M159" s="79"/>
      <c r="N159" s="129"/>
      <c r="O159" s="129"/>
      <c r="S159" s="129"/>
      <c r="T159" s="129"/>
      <c r="U159" s="129"/>
      <c r="V159" s="129"/>
    </row>
    <row r="160" spans="1:22" s="63" customFormat="1" ht="15" x14ac:dyDescent="0.25">
      <c r="A160" s="84">
        <v>1.1339999999999999</v>
      </c>
      <c r="B160" s="81" t="s">
        <v>38</v>
      </c>
      <c r="C160" s="82">
        <v>70</v>
      </c>
      <c r="D160" s="131" t="s">
        <v>294</v>
      </c>
      <c r="E160" s="83" t="s">
        <v>295</v>
      </c>
      <c r="F160" s="81" t="s">
        <v>196</v>
      </c>
      <c r="G160" s="88">
        <v>6.6E-3</v>
      </c>
      <c r="H160" s="85"/>
      <c r="I160" s="86">
        <v>1326.43</v>
      </c>
      <c r="J160" s="185">
        <f t="shared" ref="J160:J166" si="24">ROUND($I160/$G160*$N$11,2)</f>
        <v>228829.27</v>
      </c>
      <c r="K160" s="189">
        <f t="shared" ref="K160:K166" si="25">ROUND(G160*J160,2)</f>
        <v>1510.27</v>
      </c>
      <c r="L160" s="189"/>
      <c r="M160" s="138"/>
      <c r="N160" s="139"/>
      <c r="O160" s="139"/>
      <c r="S160" s="72"/>
      <c r="T160" s="72"/>
      <c r="U160" s="72"/>
      <c r="V160" s="72"/>
    </row>
    <row r="161" spans="1:22" s="63" customFormat="1" ht="22.5" x14ac:dyDescent="0.25">
      <c r="A161" s="84">
        <v>1.135</v>
      </c>
      <c r="B161" s="81" t="s">
        <v>38</v>
      </c>
      <c r="C161" s="80">
        <v>70.099999999999994</v>
      </c>
      <c r="D161" s="131" t="s">
        <v>296</v>
      </c>
      <c r="E161" s="83" t="s">
        <v>297</v>
      </c>
      <c r="F161" s="81" t="s">
        <v>205</v>
      </c>
      <c r="G161" s="88">
        <v>0.67320000000000002</v>
      </c>
      <c r="H161" s="85"/>
      <c r="I161" s="86">
        <v>2791.52</v>
      </c>
      <c r="J161" s="185">
        <f t="shared" si="24"/>
        <v>4721.37</v>
      </c>
      <c r="K161" s="189">
        <f t="shared" si="25"/>
        <v>3178.43</v>
      </c>
      <c r="L161" s="189"/>
      <c r="M161" s="138"/>
      <c r="N161" s="139"/>
      <c r="O161" s="139"/>
      <c r="S161" s="72"/>
      <c r="T161" s="72"/>
      <c r="U161" s="72"/>
      <c r="V161" s="72"/>
    </row>
    <row r="162" spans="1:22" s="63" customFormat="1" ht="15" x14ac:dyDescent="0.25">
      <c r="A162" s="84">
        <v>1.1359999999999999</v>
      </c>
      <c r="B162" s="81" t="s">
        <v>38</v>
      </c>
      <c r="C162" s="82">
        <v>71</v>
      </c>
      <c r="D162" s="131" t="s">
        <v>300</v>
      </c>
      <c r="E162" s="83" t="s">
        <v>301</v>
      </c>
      <c r="F162" s="81" t="s">
        <v>196</v>
      </c>
      <c r="G162" s="84">
        <v>4.5999999999999999E-2</v>
      </c>
      <c r="H162" s="85"/>
      <c r="I162" s="86">
        <v>12442.75</v>
      </c>
      <c r="J162" s="185">
        <f t="shared" si="24"/>
        <v>307985.11</v>
      </c>
      <c r="K162" s="189">
        <f t="shared" si="25"/>
        <v>14167.32</v>
      </c>
      <c r="L162" s="189"/>
      <c r="M162" s="138"/>
      <c r="N162" s="139"/>
      <c r="O162" s="139"/>
      <c r="S162" s="72"/>
      <c r="T162" s="72"/>
      <c r="U162" s="72"/>
      <c r="V162" s="72"/>
    </row>
    <row r="163" spans="1:22" s="63" customFormat="1" ht="22.5" x14ac:dyDescent="0.25">
      <c r="A163" s="84">
        <v>1.137</v>
      </c>
      <c r="B163" s="81" t="s">
        <v>38</v>
      </c>
      <c r="C163" s="80">
        <v>71.099999999999994</v>
      </c>
      <c r="D163" s="131" t="s">
        <v>233</v>
      </c>
      <c r="E163" s="83" t="s">
        <v>234</v>
      </c>
      <c r="F163" s="81" t="s">
        <v>205</v>
      </c>
      <c r="G163" s="84">
        <v>4.6689999999999996</v>
      </c>
      <c r="H163" s="85"/>
      <c r="I163" s="86">
        <v>35266.92</v>
      </c>
      <c r="J163" s="185">
        <f t="shared" si="24"/>
        <v>8600.32</v>
      </c>
      <c r="K163" s="189">
        <f t="shared" si="25"/>
        <v>40154.89</v>
      </c>
      <c r="L163" s="189"/>
      <c r="M163" s="138"/>
      <c r="N163" s="139"/>
      <c r="O163" s="139"/>
      <c r="S163" s="72"/>
      <c r="T163" s="72"/>
      <c r="U163" s="72"/>
      <c r="V163" s="72"/>
    </row>
    <row r="164" spans="1:22" s="63" customFormat="1" ht="22.5" x14ac:dyDescent="0.25">
      <c r="A164" s="84">
        <v>1.1379999999999999</v>
      </c>
      <c r="B164" s="81" t="s">
        <v>38</v>
      </c>
      <c r="C164" s="80">
        <v>71.2</v>
      </c>
      <c r="D164" s="131" t="s">
        <v>235</v>
      </c>
      <c r="E164" s="83" t="s">
        <v>3433</v>
      </c>
      <c r="F164" s="81" t="s">
        <v>205</v>
      </c>
      <c r="G164" s="84">
        <v>4.6689999999999996</v>
      </c>
      <c r="H164" s="85"/>
      <c r="I164" s="86">
        <v>535.29</v>
      </c>
      <c r="J164" s="185">
        <f t="shared" si="24"/>
        <v>130.54</v>
      </c>
      <c r="K164" s="189">
        <f t="shared" si="25"/>
        <v>609.49</v>
      </c>
      <c r="L164" s="189"/>
      <c r="M164" s="138"/>
      <c r="N164" s="139"/>
      <c r="O164" s="139"/>
      <c r="S164" s="72"/>
      <c r="T164" s="72"/>
      <c r="U164" s="72"/>
      <c r="V164" s="72"/>
    </row>
    <row r="165" spans="1:22" s="63" customFormat="1" ht="22.5" x14ac:dyDescent="0.25">
      <c r="A165" s="84">
        <v>1.139</v>
      </c>
      <c r="B165" s="81" t="s">
        <v>38</v>
      </c>
      <c r="C165" s="80">
        <v>71.3</v>
      </c>
      <c r="D165" s="131" t="s">
        <v>278</v>
      </c>
      <c r="E165" s="83" t="s">
        <v>279</v>
      </c>
      <c r="F165" s="81" t="s">
        <v>226</v>
      </c>
      <c r="G165" s="88">
        <v>4.9399999999999999E-2</v>
      </c>
      <c r="H165" s="85"/>
      <c r="I165" s="86">
        <v>2545.54</v>
      </c>
      <c r="J165" s="185">
        <f t="shared" si="24"/>
        <v>58671.09</v>
      </c>
      <c r="K165" s="189">
        <f t="shared" si="25"/>
        <v>2898.35</v>
      </c>
      <c r="L165" s="189"/>
      <c r="M165" s="138"/>
      <c r="N165" s="139"/>
      <c r="O165" s="139"/>
      <c r="S165" s="72"/>
      <c r="T165" s="72"/>
      <c r="U165" s="72"/>
      <c r="V165" s="72"/>
    </row>
    <row r="166" spans="1:22" s="63" customFormat="1" ht="22.5" x14ac:dyDescent="0.25">
      <c r="A166" s="84">
        <v>1.1399999999999999</v>
      </c>
      <c r="B166" s="81" t="s">
        <v>38</v>
      </c>
      <c r="C166" s="80">
        <v>71.400000000000006</v>
      </c>
      <c r="D166" s="131" t="s">
        <v>224</v>
      </c>
      <c r="E166" s="83" t="s">
        <v>225</v>
      </c>
      <c r="F166" s="81" t="s">
        <v>226</v>
      </c>
      <c r="G166" s="88">
        <v>6.4000000000000003E-3</v>
      </c>
      <c r="H166" s="85"/>
      <c r="I166" s="86">
        <v>315.95</v>
      </c>
      <c r="J166" s="185">
        <f t="shared" si="24"/>
        <v>56209.48</v>
      </c>
      <c r="K166" s="189">
        <f t="shared" si="25"/>
        <v>359.74</v>
      </c>
      <c r="L166" s="189"/>
      <c r="M166" s="138"/>
      <c r="N166" s="139"/>
      <c r="O166" s="139"/>
      <c r="S166" s="72"/>
      <c r="T166" s="72"/>
      <c r="U166" s="72"/>
      <c r="V166" s="72"/>
    </row>
    <row r="167" spans="1:22" s="128" customFormat="1" ht="12.75" x14ac:dyDescent="0.25">
      <c r="A167" s="242"/>
      <c r="B167" s="125"/>
      <c r="C167" s="236"/>
      <c r="D167" s="77"/>
      <c r="E167" s="126" t="s">
        <v>3217</v>
      </c>
      <c r="F167" s="125"/>
      <c r="G167" s="240"/>
      <c r="H167" s="127"/>
      <c r="I167" s="78"/>
      <c r="J167" s="238"/>
      <c r="K167" s="239"/>
      <c r="L167" s="239"/>
      <c r="M167" s="79"/>
      <c r="N167" s="129"/>
      <c r="O167" s="129"/>
      <c r="S167" s="129"/>
      <c r="T167" s="129"/>
      <c r="U167" s="129"/>
      <c r="V167" s="129"/>
    </row>
    <row r="168" spans="1:22" s="63" customFormat="1" ht="15" x14ac:dyDescent="0.25">
      <c r="A168" s="84">
        <v>1.141</v>
      </c>
      <c r="B168" s="81" t="s">
        <v>38</v>
      </c>
      <c r="C168" s="82">
        <v>72</v>
      </c>
      <c r="D168" s="131" t="s">
        <v>203</v>
      </c>
      <c r="E168" s="83" t="s">
        <v>204</v>
      </c>
      <c r="F168" s="81" t="s">
        <v>205</v>
      </c>
      <c r="G168" s="88">
        <v>1.9800000000000002E-2</v>
      </c>
      <c r="H168" s="85"/>
      <c r="I168" s="86">
        <v>102.34</v>
      </c>
      <c r="J168" s="185">
        <f>ROUND($I168/$G168*$N$11,2)</f>
        <v>5885.07</v>
      </c>
      <c r="K168" s="189">
        <f>ROUND(G168*J168,2)</f>
        <v>116.52</v>
      </c>
      <c r="L168" s="189"/>
      <c r="M168" s="138"/>
      <c r="N168" s="139"/>
      <c r="O168" s="139"/>
      <c r="S168" s="72"/>
      <c r="T168" s="72"/>
      <c r="U168" s="72"/>
      <c r="V168" s="72"/>
    </row>
    <row r="169" spans="1:22" s="63" customFormat="1" ht="33.75" x14ac:dyDescent="0.25">
      <c r="A169" s="84">
        <v>1.1419999999999999</v>
      </c>
      <c r="B169" s="81" t="s">
        <v>38</v>
      </c>
      <c r="C169" s="82">
        <v>73</v>
      </c>
      <c r="D169" s="131" t="s">
        <v>206</v>
      </c>
      <c r="E169" s="83" t="s">
        <v>304</v>
      </c>
      <c r="F169" s="81" t="s">
        <v>207</v>
      </c>
      <c r="G169" s="84">
        <v>6.6000000000000003E-2</v>
      </c>
      <c r="H169" s="85"/>
      <c r="I169" s="86">
        <v>1213.47</v>
      </c>
      <c r="J169" s="185">
        <f>ROUND($I169/$G169*$N$11,2)</f>
        <v>20934.2</v>
      </c>
      <c r="K169" s="189">
        <f>ROUND(G169*J169,2)</f>
        <v>1381.66</v>
      </c>
      <c r="L169" s="189"/>
      <c r="M169" s="138"/>
      <c r="N169" s="139"/>
      <c r="O169" s="139"/>
      <c r="S169" s="72"/>
      <c r="T169" s="72"/>
      <c r="U169" s="72"/>
      <c r="V169" s="72"/>
    </row>
    <row r="170" spans="1:22" s="63" customFormat="1" ht="22.5" x14ac:dyDescent="0.25">
      <c r="A170" s="84">
        <v>1.143</v>
      </c>
      <c r="B170" s="81" t="s">
        <v>38</v>
      </c>
      <c r="C170" s="80">
        <v>73.099999999999994</v>
      </c>
      <c r="D170" s="131" t="s">
        <v>208</v>
      </c>
      <c r="E170" s="83" t="s">
        <v>209</v>
      </c>
      <c r="F170" s="81" t="s">
        <v>210</v>
      </c>
      <c r="G170" s="80">
        <v>26.4</v>
      </c>
      <c r="H170" s="85"/>
      <c r="I170" s="86">
        <v>4623.0200000000004</v>
      </c>
      <c r="J170" s="185">
        <f>ROUND($I170/$G170*$N$11,2)</f>
        <v>199.39</v>
      </c>
      <c r="K170" s="189">
        <f>ROUND(G170*J170,2)</f>
        <v>5263.9</v>
      </c>
      <c r="L170" s="189"/>
      <c r="M170" s="138"/>
      <c r="N170" s="139"/>
      <c r="O170" s="139"/>
      <c r="S170" s="72"/>
      <c r="T170" s="72"/>
      <c r="U170" s="72"/>
      <c r="V170" s="72"/>
    </row>
    <row r="171" spans="1:22" s="63" customFormat="1" ht="22.5" x14ac:dyDescent="0.25">
      <c r="A171" s="84">
        <v>1.1439999999999999</v>
      </c>
      <c r="B171" s="81" t="s">
        <v>38</v>
      </c>
      <c r="C171" s="80">
        <v>73.2</v>
      </c>
      <c r="D171" s="131" t="s">
        <v>211</v>
      </c>
      <c r="E171" s="83" t="s">
        <v>212</v>
      </c>
      <c r="F171" s="81" t="s">
        <v>213</v>
      </c>
      <c r="G171" s="87">
        <v>8.25</v>
      </c>
      <c r="H171" s="85"/>
      <c r="I171" s="86">
        <v>8803.6299999999992</v>
      </c>
      <c r="J171" s="185">
        <f>ROUND($I171/$G171*$N$11,2)</f>
        <v>1215.01</v>
      </c>
      <c r="K171" s="189">
        <f>ROUND(G171*J171,2)</f>
        <v>10023.83</v>
      </c>
      <c r="L171" s="189"/>
      <c r="M171" s="138"/>
      <c r="N171" s="139"/>
      <c r="O171" s="139"/>
      <c r="S171" s="72"/>
      <c r="T171" s="72"/>
      <c r="U171" s="72"/>
      <c r="V171" s="72"/>
    </row>
    <row r="172" spans="1:22" s="128" customFormat="1" ht="12.75" x14ac:dyDescent="0.25">
      <c r="A172" s="242"/>
      <c r="B172" s="125"/>
      <c r="C172" s="236"/>
      <c r="D172" s="77"/>
      <c r="E172" s="126" t="s">
        <v>3220</v>
      </c>
      <c r="F172" s="125"/>
      <c r="G172" s="237"/>
      <c r="H172" s="127"/>
      <c r="I172" s="78"/>
      <c r="J172" s="238"/>
      <c r="K172" s="239"/>
      <c r="L172" s="239"/>
      <c r="M172" s="79"/>
      <c r="N172" s="129"/>
      <c r="O172" s="129"/>
      <c r="S172" s="129"/>
      <c r="T172" s="129"/>
      <c r="U172" s="129"/>
      <c r="V172" s="129"/>
    </row>
    <row r="173" spans="1:22" s="63" customFormat="1" ht="22.5" x14ac:dyDescent="0.25">
      <c r="A173" s="84">
        <v>1.145</v>
      </c>
      <c r="B173" s="81" t="s">
        <v>38</v>
      </c>
      <c r="C173" s="82">
        <v>74</v>
      </c>
      <c r="D173" s="131" t="s">
        <v>305</v>
      </c>
      <c r="E173" s="83" t="s">
        <v>306</v>
      </c>
      <c r="F173" s="81" t="s">
        <v>226</v>
      </c>
      <c r="G173" s="89">
        <v>0.18887999999999999</v>
      </c>
      <c r="H173" s="85"/>
      <c r="I173" s="86">
        <v>13598.66</v>
      </c>
      <c r="J173" s="185">
        <f t="shared" ref="J173:J178" si="26">ROUND($I173/$G173*$N$11,2)</f>
        <v>81974.98</v>
      </c>
      <c r="K173" s="189">
        <f t="shared" ref="K173:K178" si="27">ROUND(G173*J173,2)</f>
        <v>15483.43</v>
      </c>
      <c r="L173" s="189"/>
      <c r="M173" s="138"/>
      <c r="N173" s="139"/>
      <c r="O173" s="139"/>
      <c r="S173" s="72"/>
      <c r="T173" s="72"/>
      <c r="U173" s="72"/>
      <c r="V173" s="72"/>
    </row>
    <row r="174" spans="1:22" s="63" customFormat="1" ht="22.5" x14ac:dyDescent="0.25">
      <c r="A174" s="84">
        <v>1.1459999999999999</v>
      </c>
      <c r="B174" s="81" t="s">
        <v>38</v>
      </c>
      <c r="C174" s="80">
        <v>74.099999999999994</v>
      </c>
      <c r="D174" s="131" t="s">
        <v>307</v>
      </c>
      <c r="E174" s="83" t="s">
        <v>308</v>
      </c>
      <c r="F174" s="81" t="s">
        <v>226</v>
      </c>
      <c r="G174" s="84">
        <v>0.186</v>
      </c>
      <c r="H174" s="85"/>
      <c r="I174" s="86">
        <v>13879</v>
      </c>
      <c r="J174" s="185">
        <f t="shared" si="26"/>
        <v>84960.37</v>
      </c>
      <c r="K174" s="189">
        <f t="shared" si="27"/>
        <v>15802.63</v>
      </c>
      <c r="L174" s="189"/>
      <c r="M174" s="138"/>
      <c r="N174" s="139"/>
      <c r="O174" s="139"/>
      <c r="S174" s="72"/>
      <c r="T174" s="72"/>
      <c r="U174" s="72"/>
      <c r="V174" s="72"/>
    </row>
    <row r="175" spans="1:22" s="63" customFormat="1" ht="22.5" x14ac:dyDescent="0.25">
      <c r="A175" s="84">
        <v>1.147</v>
      </c>
      <c r="B175" s="81" t="s">
        <v>38</v>
      </c>
      <c r="C175" s="80">
        <v>74.2</v>
      </c>
      <c r="D175" s="131" t="s">
        <v>309</v>
      </c>
      <c r="E175" s="83" t="s">
        <v>310</v>
      </c>
      <c r="F175" s="81" t="s">
        <v>226</v>
      </c>
      <c r="G175" s="89">
        <v>2.8800000000000002E-3</v>
      </c>
      <c r="H175" s="85"/>
      <c r="I175" s="86">
        <v>190.21</v>
      </c>
      <c r="J175" s="185">
        <f t="shared" si="26"/>
        <v>75199</v>
      </c>
      <c r="K175" s="189">
        <f t="shared" si="27"/>
        <v>216.57</v>
      </c>
      <c r="L175" s="189"/>
      <c r="M175" s="138"/>
      <c r="N175" s="139"/>
      <c r="O175" s="139"/>
      <c r="S175" s="72"/>
      <c r="T175" s="72"/>
      <c r="U175" s="72"/>
      <c r="V175" s="72"/>
    </row>
    <row r="176" spans="1:22" s="63" customFormat="1" ht="22.5" x14ac:dyDescent="0.25">
      <c r="A176" s="84">
        <v>1.1479999999999999</v>
      </c>
      <c r="B176" s="81" t="s">
        <v>38</v>
      </c>
      <c r="C176" s="82">
        <v>75</v>
      </c>
      <c r="D176" s="131" t="s">
        <v>311</v>
      </c>
      <c r="E176" s="83" t="s">
        <v>312</v>
      </c>
      <c r="F176" s="81" t="s">
        <v>207</v>
      </c>
      <c r="G176" s="87">
        <v>0.04</v>
      </c>
      <c r="H176" s="85"/>
      <c r="I176" s="86">
        <v>1757.47</v>
      </c>
      <c r="J176" s="185">
        <f t="shared" si="26"/>
        <v>50026.38</v>
      </c>
      <c r="K176" s="189">
        <f t="shared" si="27"/>
        <v>2001.06</v>
      </c>
      <c r="L176" s="189"/>
      <c r="M176" s="138"/>
      <c r="N176" s="139"/>
      <c r="O176" s="139"/>
      <c r="S176" s="72"/>
      <c r="T176" s="72"/>
      <c r="U176" s="72"/>
      <c r="V176" s="72"/>
    </row>
    <row r="177" spans="1:22" s="63" customFormat="1" ht="22.5" x14ac:dyDescent="0.25">
      <c r="A177" s="84">
        <v>1.149</v>
      </c>
      <c r="B177" s="81" t="s">
        <v>38</v>
      </c>
      <c r="C177" s="80">
        <v>75.099999999999994</v>
      </c>
      <c r="D177" s="131" t="s">
        <v>313</v>
      </c>
      <c r="E177" s="83" t="s">
        <v>314</v>
      </c>
      <c r="F177" s="81" t="s">
        <v>226</v>
      </c>
      <c r="G177" s="88">
        <v>3.9600000000000003E-2</v>
      </c>
      <c r="H177" s="85"/>
      <c r="I177" s="86">
        <v>3220.42</v>
      </c>
      <c r="J177" s="185">
        <f t="shared" si="26"/>
        <v>92595.21</v>
      </c>
      <c r="K177" s="189">
        <f t="shared" si="27"/>
        <v>3666.77</v>
      </c>
      <c r="L177" s="189"/>
      <c r="M177" s="138"/>
      <c r="N177" s="139"/>
      <c r="O177" s="139"/>
      <c r="S177" s="72"/>
      <c r="T177" s="72"/>
      <c r="U177" s="72"/>
      <c r="V177" s="72"/>
    </row>
    <row r="178" spans="1:22" s="63" customFormat="1" ht="15" x14ac:dyDescent="0.25">
      <c r="A178" s="84">
        <v>1.1499999999999999</v>
      </c>
      <c r="B178" s="81" t="s">
        <v>38</v>
      </c>
      <c r="C178" s="82">
        <v>76</v>
      </c>
      <c r="D178" s="131" t="s">
        <v>315</v>
      </c>
      <c r="E178" s="83" t="s">
        <v>316</v>
      </c>
      <c r="F178" s="81" t="s">
        <v>207</v>
      </c>
      <c r="G178" s="84">
        <v>6.6000000000000003E-2</v>
      </c>
      <c r="H178" s="85"/>
      <c r="I178" s="86">
        <v>889.98</v>
      </c>
      <c r="J178" s="185">
        <f t="shared" si="26"/>
        <v>15353.5</v>
      </c>
      <c r="K178" s="189">
        <f t="shared" si="27"/>
        <v>1013.33</v>
      </c>
      <c r="L178" s="189"/>
      <c r="M178" s="138"/>
      <c r="N178" s="139"/>
      <c r="O178" s="139"/>
      <c r="S178" s="72"/>
      <c r="T178" s="72"/>
      <c r="U178" s="72"/>
      <c r="V178" s="72"/>
    </row>
    <row r="179" spans="1:22" s="128" customFormat="1" ht="12.75" x14ac:dyDescent="0.25">
      <c r="A179" s="242"/>
      <c r="B179" s="125"/>
      <c r="C179" s="76"/>
      <c r="D179" s="77"/>
      <c r="E179" s="126" t="s">
        <v>3221</v>
      </c>
      <c r="F179" s="125"/>
      <c r="G179" s="242"/>
      <c r="H179" s="127"/>
      <c r="I179" s="78"/>
      <c r="J179" s="238"/>
      <c r="K179" s="239"/>
      <c r="L179" s="239"/>
      <c r="M179" s="79"/>
      <c r="N179" s="129"/>
      <c r="O179" s="129"/>
      <c r="S179" s="129"/>
      <c r="T179" s="129"/>
      <c r="U179" s="129"/>
      <c r="V179" s="129"/>
    </row>
    <row r="180" spans="1:22" s="128" customFormat="1" ht="12.75" x14ac:dyDescent="0.25">
      <c r="A180" s="242"/>
      <c r="B180" s="125"/>
      <c r="C180" s="76"/>
      <c r="D180" s="77"/>
      <c r="E180" s="126" t="s">
        <v>3214</v>
      </c>
      <c r="F180" s="125"/>
      <c r="G180" s="242"/>
      <c r="H180" s="127"/>
      <c r="I180" s="78"/>
      <c r="J180" s="238"/>
      <c r="K180" s="239"/>
      <c r="L180" s="239"/>
      <c r="M180" s="79"/>
      <c r="N180" s="129"/>
      <c r="O180" s="129"/>
      <c r="S180" s="129"/>
      <c r="T180" s="129"/>
      <c r="U180" s="129"/>
      <c r="V180" s="129"/>
    </row>
    <row r="181" spans="1:22" s="63" customFormat="1" ht="15" x14ac:dyDescent="0.25">
      <c r="A181" s="84">
        <v>1.151</v>
      </c>
      <c r="B181" s="81" t="s">
        <v>38</v>
      </c>
      <c r="C181" s="82">
        <v>77</v>
      </c>
      <c r="D181" s="131" t="s">
        <v>294</v>
      </c>
      <c r="E181" s="83" t="s">
        <v>295</v>
      </c>
      <c r="F181" s="81" t="s">
        <v>196</v>
      </c>
      <c r="G181" s="88">
        <v>1.6199999999999999E-2</v>
      </c>
      <c r="H181" s="85"/>
      <c r="I181" s="86">
        <v>3254.34</v>
      </c>
      <c r="J181" s="185">
        <f t="shared" ref="J181:J187" si="28">ROUND($I181/$G181*$N$11,2)</f>
        <v>228727.87</v>
      </c>
      <c r="K181" s="189">
        <f t="shared" ref="K181:K187" si="29">ROUND(G181*J181,2)</f>
        <v>3705.39</v>
      </c>
      <c r="L181" s="189"/>
      <c r="M181" s="138"/>
      <c r="N181" s="139"/>
      <c r="O181" s="139"/>
      <c r="S181" s="72"/>
      <c r="T181" s="72"/>
      <c r="U181" s="72"/>
      <c r="V181" s="72"/>
    </row>
    <row r="182" spans="1:22" s="63" customFormat="1" ht="22.5" x14ac:dyDescent="0.25">
      <c r="A182" s="84">
        <v>1.1519999999999999</v>
      </c>
      <c r="B182" s="81" t="s">
        <v>38</v>
      </c>
      <c r="C182" s="80">
        <v>77.099999999999994</v>
      </c>
      <c r="D182" s="131" t="s">
        <v>296</v>
      </c>
      <c r="E182" s="83" t="s">
        <v>297</v>
      </c>
      <c r="F182" s="81" t="s">
        <v>205</v>
      </c>
      <c r="G182" s="84">
        <v>1.6519999999999999</v>
      </c>
      <c r="H182" s="85"/>
      <c r="I182" s="86">
        <v>6850.3</v>
      </c>
      <c r="J182" s="185">
        <f t="shared" si="28"/>
        <v>4721.3999999999996</v>
      </c>
      <c r="K182" s="189">
        <f t="shared" si="29"/>
        <v>7799.75</v>
      </c>
      <c r="L182" s="189"/>
      <c r="M182" s="138"/>
      <c r="N182" s="139"/>
      <c r="O182" s="139"/>
      <c r="S182" s="72"/>
      <c r="T182" s="72"/>
      <c r="U182" s="72"/>
      <c r="V182" s="72"/>
    </row>
    <row r="183" spans="1:22" s="63" customFormat="1" ht="22.5" x14ac:dyDescent="0.25">
      <c r="A183" s="84">
        <v>1.153</v>
      </c>
      <c r="B183" s="81" t="s">
        <v>38</v>
      </c>
      <c r="C183" s="82">
        <v>78</v>
      </c>
      <c r="D183" s="131" t="s">
        <v>298</v>
      </c>
      <c r="E183" s="83" t="s">
        <v>299</v>
      </c>
      <c r="F183" s="81" t="s">
        <v>196</v>
      </c>
      <c r="G183" s="88">
        <v>0.1012</v>
      </c>
      <c r="H183" s="85"/>
      <c r="I183" s="86">
        <v>55851.12</v>
      </c>
      <c r="J183" s="185">
        <f t="shared" si="28"/>
        <v>628380.29</v>
      </c>
      <c r="K183" s="189">
        <f t="shared" si="29"/>
        <v>63592.09</v>
      </c>
      <c r="L183" s="189"/>
      <c r="M183" s="138"/>
      <c r="N183" s="139"/>
      <c r="O183" s="139"/>
      <c r="S183" s="72"/>
      <c r="T183" s="72"/>
      <c r="U183" s="72"/>
      <c r="V183" s="72"/>
    </row>
    <row r="184" spans="1:22" s="63" customFormat="1" ht="22.5" x14ac:dyDescent="0.25">
      <c r="A184" s="84">
        <v>1.1539999999999999</v>
      </c>
      <c r="B184" s="81" t="s">
        <v>38</v>
      </c>
      <c r="C184" s="80">
        <v>78.099999999999994</v>
      </c>
      <c r="D184" s="131" t="s">
        <v>233</v>
      </c>
      <c r="E184" s="83" t="s">
        <v>234</v>
      </c>
      <c r="F184" s="81" t="s">
        <v>205</v>
      </c>
      <c r="G184" s="87">
        <v>10.27</v>
      </c>
      <c r="H184" s="85"/>
      <c r="I184" s="86">
        <v>77573.55</v>
      </c>
      <c r="J184" s="185">
        <f t="shared" si="28"/>
        <v>8600.32</v>
      </c>
      <c r="K184" s="189">
        <f t="shared" si="29"/>
        <v>88325.29</v>
      </c>
      <c r="L184" s="189"/>
      <c r="M184" s="138"/>
      <c r="N184" s="139"/>
      <c r="O184" s="139"/>
      <c r="S184" s="72"/>
      <c r="T184" s="72"/>
      <c r="U184" s="72"/>
      <c r="V184" s="72"/>
    </row>
    <row r="185" spans="1:22" s="63" customFormat="1" ht="22.5" x14ac:dyDescent="0.25">
      <c r="A185" s="84">
        <v>1.155</v>
      </c>
      <c r="B185" s="81" t="s">
        <v>38</v>
      </c>
      <c r="C185" s="80">
        <v>78.2</v>
      </c>
      <c r="D185" s="131" t="s">
        <v>235</v>
      </c>
      <c r="E185" s="83" t="s">
        <v>3435</v>
      </c>
      <c r="F185" s="81" t="s">
        <v>205</v>
      </c>
      <c r="G185" s="87">
        <v>10.27</v>
      </c>
      <c r="H185" s="85"/>
      <c r="I185" s="86">
        <v>1177.4000000000001</v>
      </c>
      <c r="J185" s="185">
        <f t="shared" si="28"/>
        <v>130.53</v>
      </c>
      <c r="K185" s="189">
        <f t="shared" si="29"/>
        <v>1340.54</v>
      </c>
      <c r="L185" s="189"/>
      <c r="M185" s="138"/>
      <c r="N185" s="139"/>
      <c r="O185" s="139"/>
      <c r="S185" s="72"/>
      <c r="T185" s="72"/>
      <c r="U185" s="72"/>
      <c r="V185" s="72"/>
    </row>
    <row r="186" spans="1:22" s="63" customFormat="1" ht="22.5" x14ac:dyDescent="0.25">
      <c r="A186" s="84">
        <v>1.1559999999999999</v>
      </c>
      <c r="B186" s="81" t="s">
        <v>38</v>
      </c>
      <c r="C186" s="80">
        <v>78.3</v>
      </c>
      <c r="D186" s="131" t="s">
        <v>278</v>
      </c>
      <c r="E186" s="83" t="s">
        <v>279</v>
      </c>
      <c r="F186" s="81" t="s">
        <v>226</v>
      </c>
      <c r="G186" s="88">
        <v>0.4677</v>
      </c>
      <c r="H186" s="85"/>
      <c r="I186" s="86">
        <v>24099.96</v>
      </c>
      <c r="J186" s="185">
        <f t="shared" si="28"/>
        <v>58670.55</v>
      </c>
      <c r="K186" s="189">
        <f t="shared" si="29"/>
        <v>27440.22</v>
      </c>
      <c r="L186" s="189"/>
      <c r="M186" s="138"/>
      <c r="N186" s="139"/>
      <c r="O186" s="139"/>
      <c r="S186" s="72"/>
      <c r="T186" s="72"/>
      <c r="U186" s="72"/>
      <c r="V186" s="72"/>
    </row>
    <row r="187" spans="1:22" s="63" customFormat="1" ht="22.5" x14ac:dyDescent="0.25">
      <c r="A187" s="84">
        <v>1.157</v>
      </c>
      <c r="B187" s="81" t="s">
        <v>38</v>
      </c>
      <c r="C187" s="80">
        <v>78.400000000000006</v>
      </c>
      <c r="D187" s="131" t="s">
        <v>276</v>
      </c>
      <c r="E187" s="83" t="s">
        <v>277</v>
      </c>
      <c r="F187" s="81" t="s">
        <v>226</v>
      </c>
      <c r="G187" s="88">
        <v>4.6199999999999998E-2</v>
      </c>
      <c r="H187" s="85"/>
      <c r="I187" s="86">
        <v>2285.09</v>
      </c>
      <c r="J187" s="185">
        <f t="shared" si="28"/>
        <v>56316.09</v>
      </c>
      <c r="K187" s="189">
        <f t="shared" si="29"/>
        <v>2601.8000000000002</v>
      </c>
      <c r="L187" s="189"/>
      <c r="M187" s="138"/>
      <c r="N187" s="139"/>
      <c r="O187" s="139"/>
      <c r="S187" s="72"/>
      <c r="T187" s="72"/>
      <c r="U187" s="72"/>
      <c r="V187" s="72"/>
    </row>
    <row r="188" spans="1:22" s="128" customFormat="1" ht="12.75" x14ac:dyDescent="0.25">
      <c r="A188" s="242"/>
      <c r="B188" s="125"/>
      <c r="C188" s="236"/>
      <c r="D188" s="77"/>
      <c r="E188" s="126" t="s">
        <v>3215</v>
      </c>
      <c r="F188" s="125"/>
      <c r="G188" s="240"/>
      <c r="H188" s="127"/>
      <c r="I188" s="78"/>
      <c r="J188" s="238"/>
      <c r="K188" s="239"/>
      <c r="L188" s="239"/>
      <c r="M188" s="79"/>
      <c r="N188" s="129"/>
      <c r="O188" s="129"/>
      <c r="S188" s="129"/>
      <c r="T188" s="129"/>
      <c r="U188" s="129"/>
      <c r="V188" s="129"/>
    </row>
    <row r="189" spans="1:22" s="63" customFormat="1" ht="15" x14ac:dyDescent="0.25">
      <c r="A189" s="84">
        <v>1.1579999999999999</v>
      </c>
      <c r="B189" s="81" t="s">
        <v>38</v>
      </c>
      <c r="C189" s="82">
        <v>79</v>
      </c>
      <c r="D189" s="131" t="s">
        <v>294</v>
      </c>
      <c r="E189" s="83" t="s">
        <v>295</v>
      </c>
      <c r="F189" s="81" t="s">
        <v>196</v>
      </c>
      <c r="G189" s="88">
        <v>2.5700000000000001E-2</v>
      </c>
      <c r="H189" s="85"/>
      <c r="I189" s="86">
        <v>5163.59</v>
      </c>
      <c r="J189" s="185">
        <f t="shared" ref="J189:J195" si="30">ROUND($I189/$G189*$N$11,2)</f>
        <v>228765.12</v>
      </c>
      <c r="K189" s="189">
        <f t="shared" ref="K189:K195" si="31">ROUND(G189*J189,2)</f>
        <v>5879.26</v>
      </c>
      <c r="L189" s="189"/>
      <c r="M189" s="138"/>
      <c r="N189" s="139"/>
      <c r="O189" s="139"/>
      <c r="S189" s="72"/>
      <c r="T189" s="72"/>
      <c r="U189" s="72"/>
      <c r="V189" s="72"/>
    </row>
    <row r="190" spans="1:22" s="63" customFormat="1" ht="22.5" x14ac:dyDescent="0.25">
      <c r="A190" s="84">
        <v>1.159</v>
      </c>
      <c r="B190" s="81" t="s">
        <v>38</v>
      </c>
      <c r="C190" s="80">
        <v>79.099999999999994</v>
      </c>
      <c r="D190" s="131" t="s">
        <v>296</v>
      </c>
      <c r="E190" s="83" t="s">
        <v>297</v>
      </c>
      <c r="F190" s="81" t="s">
        <v>205</v>
      </c>
      <c r="G190" s="84">
        <v>2.621</v>
      </c>
      <c r="H190" s="85"/>
      <c r="I190" s="86">
        <v>10868.5</v>
      </c>
      <c r="J190" s="185">
        <f t="shared" si="30"/>
        <v>4721.43</v>
      </c>
      <c r="K190" s="189">
        <f t="shared" si="31"/>
        <v>12374.87</v>
      </c>
      <c r="L190" s="189"/>
      <c r="M190" s="138"/>
      <c r="N190" s="139"/>
      <c r="O190" s="139"/>
      <c r="S190" s="72"/>
      <c r="T190" s="72"/>
      <c r="U190" s="72"/>
      <c r="V190" s="72"/>
    </row>
    <row r="191" spans="1:22" s="63" customFormat="1" ht="15" x14ac:dyDescent="0.25">
      <c r="A191" s="84">
        <v>1.1599999999999999</v>
      </c>
      <c r="B191" s="81" t="s">
        <v>38</v>
      </c>
      <c r="C191" s="82">
        <v>80</v>
      </c>
      <c r="D191" s="131" t="s">
        <v>300</v>
      </c>
      <c r="E191" s="83" t="s">
        <v>301</v>
      </c>
      <c r="F191" s="81" t="s">
        <v>196</v>
      </c>
      <c r="G191" s="88">
        <v>6.9199999999999998E-2</v>
      </c>
      <c r="H191" s="85"/>
      <c r="I191" s="86">
        <v>18718.77</v>
      </c>
      <c r="J191" s="185">
        <f t="shared" si="30"/>
        <v>307994.09999999998</v>
      </c>
      <c r="K191" s="189">
        <f t="shared" si="31"/>
        <v>21313.19</v>
      </c>
      <c r="L191" s="189"/>
      <c r="M191" s="138"/>
      <c r="N191" s="139"/>
      <c r="O191" s="139"/>
      <c r="S191" s="72"/>
      <c r="T191" s="72"/>
      <c r="U191" s="72"/>
      <c r="V191" s="72"/>
    </row>
    <row r="192" spans="1:22" s="63" customFormat="1" ht="22.5" x14ac:dyDescent="0.25">
      <c r="A192" s="84">
        <v>1.161</v>
      </c>
      <c r="B192" s="81" t="s">
        <v>38</v>
      </c>
      <c r="C192" s="80">
        <v>80.099999999999994</v>
      </c>
      <c r="D192" s="131" t="s">
        <v>233</v>
      </c>
      <c r="E192" s="83" t="s">
        <v>234</v>
      </c>
      <c r="F192" s="81" t="s">
        <v>205</v>
      </c>
      <c r="G192" s="84">
        <v>7.024</v>
      </c>
      <c r="H192" s="85"/>
      <c r="I192" s="86">
        <v>53055.16</v>
      </c>
      <c r="J192" s="185">
        <f t="shared" si="30"/>
        <v>8600.31</v>
      </c>
      <c r="K192" s="189">
        <f t="shared" si="31"/>
        <v>60408.58</v>
      </c>
      <c r="L192" s="189"/>
      <c r="M192" s="138"/>
      <c r="N192" s="139"/>
      <c r="O192" s="139"/>
      <c r="S192" s="72"/>
      <c r="T192" s="72"/>
      <c r="U192" s="72"/>
      <c r="V192" s="72"/>
    </row>
    <row r="193" spans="1:22" s="63" customFormat="1" ht="22.5" x14ac:dyDescent="0.25">
      <c r="A193" s="84">
        <v>1.1619999999999999</v>
      </c>
      <c r="B193" s="81" t="s">
        <v>38</v>
      </c>
      <c r="C193" s="80">
        <v>80.2</v>
      </c>
      <c r="D193" s="131" t="s">
        <v>235</v>
      </c>
      <c r="E193" s="83" t="s">
        <v>3433</v>
      </c>
      <c r="F193" s="81" t="s">
        <v>205</v>
      </c>
      <c r="G193" s="84">
        <v>7.024</v>
      </c>
      <c r="H193" s="85"/>
      <c r="I193" s="86">
        <v>805.24</v>
      </c>
      <c r="J193" s="185">
        <f t="shared" si="30"/>
        <v>130.53</v>
      </c>
      <c r="K193" s="189">
        <f t="shared" si="31"/>
        <v>916.84</v>
      </c>
      <c r="L193" s="189"/>
      <c r="M193" s="138"/>
      <c r="N193" s="139"/>
      <c r="O193" s="139"/>
      <c r="S193" s="72"/>
      <c r="T193" s="72"/>
      <c r="U193" s="72"/>
      <c r="V193" s="72"/>
    </row>
    <row r="194" spans="1:22" s="63" customFormat="1" ht="22.5" x14ac:dyDescent="0.25">
      <c r="A194" s="84">
        <v>1.163</v>
      </c>
      <c r="B194" s="81" t="s">
        <v>38</v>
      </c>
      <c r="C194" s="80">
        <v>80.3</v>
      </c>
      <c r="D194" s="131" t="s">
        <v>278</v>
      </c>
      <c r="E194" s="83" t="s">
        <v>279</v>
      </c>
      <c r="F194" s="81" t="s">
        <v>226</v>
      </c>
      <c r="G194" s="88">
        <v>0.30420000000000003</v>
      </c>
      <c r="H194" s="85"/>
      <c r="I194" s="86">
        <v>15674.98</v>
      </c>
      <c r="J194" s="185">
        <f t="shared" si="30"/>
        <v>58670.39</v>
      </c>
      <c r="K194" s="189">
        <f t="shared" si="31"/>
        <v>17847.53</v>
      </c>
      <c r="L194" s="189"/>
      <c r="M194" s="138"/>
      <c r="N194" s="139"/>
      <c r="O194" s="139"/>
      <c r="S194" s="72"/>
      <c r="T194" s="72"/>
      <c r="U194" s="72"/>
      <c r="V194" s="72"/>
    </row>
    <row r="195" spans="1:22" s="63" customFormat="1" ht="22.5" x14ac:dyDescent="0.25">
      <c r="A195" s="84">
        <v>1.1639999999999999</v>
      </c>
      <c r="B195" s="81" t="s">
        <v>38</v>
      </c>
      <c r="C195" s="80">
        <v>80.400000000000006</v>
      </c>
      <c r="D195" s="131" t="s">
        <v>224</v>
      </c>
      <c r="E195" s="83" t="s">
        <v>225</v>
      </c>
      <c r="F195" s="81" t="s">
        <v>226</v>
      </c>
      <c r="G195" s="84">
        <v>3.9E-2</v>
      </c>
      <c r="H195" s="85"/>
      <c r="I195" s="86">
        <v>1925.1</v>
      </c>
      <c r="J195" s="185">
        <f t="shared" si="30"/>
        <v>56203.05</v>
      </c>
      <c r="K195" s="189">
        <f t="shared" si="31"/>
        <v>2191.92</v>
      </c>
      <c r="L195" s="189"/>
      <c r="M195" s="138"/>
      <c r="N195" s="139"/>
      <c r="O195" s="139"/>
      <c r="S195" s="72"/>
      <c r="T195" s="72"/>
      <c r="U195" s="72"/>
      <c r="V195" s="72"/>
    </row>
    <row r="196" spans="1:22" s="128" customFormat="1" ht="12.75" x14ac:dyDescent="0.25">
      <c r="A196" s="242"/>
      <c r="B196" s="125"/>
      <c r="C196" s="236"/>
      <c r="D196" s="77"/>
      <c r="E196" s="126" t="s">
        <v>3217</v>
      </c>
      <c r="F196" s="125"/>
      <c r="G196" s="242"/>
      <c r="H196" s="127"/>
      <c r="I196" s="78"/>
      <c r="J196" s="238"/>
      <c r="K196" s="239"/>
      <c r="L196" s="239"/>
      <c r="M196" s="79"/>
      <c r="N196" s="129"/>
      <c r="O196" s="129"/>
      <c r="S196" s="129"/>
      <c r="T196" s="129"/>
      <c r="U196" s="129"/>
      <c r="V196" s="129"/>
    </row>
    <row r="197" spans="1:22" s="63" customFormat="1" ht="15" x14ac:dyDescent="0.25">
      <c r="A197" s="84">
        <v>1.165</v>
      </c>
      <c r="B197" s="81" t="s">
        <v>38</v>
      </c>
      <c r="C197" s="82">
        <v>81</v>
      </c>
      <c r="D197" s="131" t="s">
        <v>203</v>
      </c>
      <c r="E197" s="83" t="s">
        <v>204</v>
      </c>
      <c r="F197" s="81" t="s">
        <v>205</v>
      </c>
      <c r="G197" s="88">
        <v>7.4099999999999999E-2</v>
      </c>
      <c r="H197" s="85"/>
      <c r="I197" s="86">
        <v>384.25</v>
      </c>
      <c r="J197" s="185">
        <f>ROUND($I197/$G197*$N$11,2)</f>
        <v>5904.28</v>
      </c>
      <c r="K197" s="189">
        <f>ROUND(G197*J197,2)</f>
        <v>437.51</v>
      </c>
      <c r="L197" s="189"/>
      <c r="M197" s="138"/>
      <c r="N197" s="139"/>
      <c r="O197" s="139"/>
      <c r="S197" s="72"/>
      <c r="T197" s="72"/>
      <c r="U197" s="72"/>
      <c r="V197" s="72"/>
    </row>
    <row r="198" spans="1:22" s="63" customFormat="1" ht="33.75" x14ac:dyDescent="0.25">
      <c r="A198" s="84">
        <v>1.1659999999999999</v>
      </c>
      <c r="B198" s="81" t="s">
        <v>38</v>
      </c>
      <c r="C198" s="82">
        <v>82</v>
      </c>
      <c r="D198" s="131" t="s">
        <v>206</v>
      </c>
      <c r="E198" s="83" t="s">
        <v>304</v>
      </c>
      <c r="F198" s="81" t="s">
        <v>207</v>
      </c>
      <c r="G198" s="84">
        <v>0.247</v>
      </c>
      <c r="H198" s="85"/>
      <c r="I198" s="86">
        <v>4543.58</v>
      </c>
      <c r="J198" s="185">
        <f>ROUND($I198/$G198*$N$11,2)</f>
        <v>20944.62</v>
      </c>
      <c r="K198" s="189">
        <f>ROUND(G198*J198,2)</f>
        <v>5173.32</v>
      </c>
      <c r="L198" s="189"/>
      <c r="M198" s="138"/>
      <c r="N198" s="139"/>
      <c r="O198" s="139"/>
      <c r="S198" s="72"/>
      <c r="T198" s="72"/>
      <c r="U198" s="72"/>
      <c r="V198" s="72"/>
    </row>
    <row r="199" spans="1:22" s="63" customFormat="1" ht="22.5" x14ac:dyDescent="0.25">
      <c r="A199" s="84">
        <v>1.167</v>
      </c>
      <c r="B199" s="81" t="s">
        <v>38</v>
      </c>
      <c r="C199" s="80">
        <v>82.1</v>
      </c>
      <c r="D199" s="131" t="s">
        <v>208</v>
      </c>
      <c r="E199" s="83" t="s">
        <v>209</v>
      </c>
      <c r="F199" s="81" t="s">
        <v>210</v>
      </c>
      <c r="G199" s="80">
        <v>98.8</v>
      </c>
      <c r="H199" s="85"/>
      <c r="I199" s="86">
        <v>17301.259999999998</v>
      </c>
      <c r="J199" s="185">
        <f>ROUND($I199/$G199*$N$11,2)</f>
        <v>199.38</v>
      </c>
      <c r="K199" s="189">
        <f>ROUND(G199*J199,2)</f>
        <v>19698.740000000002</v>
      </c>
      <c r="L199" s="189"/>
      <c r="M199" s="138"/>
      <c r="N199" s="139"/>
      <c r="O199" s="139"/>
      <c r="S199" s="72"/>
      <c r="T199" s="72"/>
      <c r="U199" s="72"/>
      <c r="V199" s="72"/>
    </row>
    <row r="200" spans="1:22" s="63" customFormat="1" ht="22.5" x14ac:dyDescent="0.25">
      <c r="A200" s="84">
        <v>1.1679999999999999</v>
      </c>
      <c r="B200" s="81" t="s">
        <v>38</v>
      </c>
      <c r="C200" s="80">
        <v>82.2</v>
      </c>
      <c r="D200" s="131" t="s">
        <v>211</v>
      </c>
      <c r="E200" s="83" t="s">
        <v>212</v>
      </c>
      <c r="F200" s="81" t="s">
        <v>213</v>
      </c>
      <c r="G200" s="84">
        <v>30.875</v>
      </c>
      <c r="H200" s="85"/>
      <c r="I200" s="86">
        <v>32947.019999999997</v>
      </c>
      <c r="J200" s="185">
        <f>ROUND($I200/$G200*$N$11,2)</f>
        <v>1215.01</v>
      </c>
      <c r="K200" s="189">
        <f>ROUND(G200*J200,2)</f>
        <v>37513.43</v>
      </c>
      <c r="L200" s="189"/>
      <c r="M200" s="138"/>
      <c r="N200" s="139"/>
      <c r="O200" s="139"/>
      <c r="S200" s="72"/>
      <c r="T200" s="72"/>
      <c r="U200" s="72"/>
      <c r="V200" s="72"/>
    </row>
    <row r="201" spans="1:22" s="128" customFormat="1" ht="12.75" x14ac:dyDescent="0.25">
      <c r="A201" s="242"/>
      <c r="B201" s="125"/>
      <c r="C201" s="236"/>
      <c r="D201" s="77"/>
      <c r="E201" s="126" t="s">
        <v>3222</v>
      </c>
      <c r="F201" s="125"/>
      <c r="G201" s="242"/>
      <c r="H201" s="127"/>
      <c r="I201" s="78"/>
      <c r="J201" s="238"/>
      <c r="K201" s="239"/>
      <c r="L201" s="239"/>
      <c r="M201" s="79"/>
      <c r="N201" s="129"/>
      <c r="O201" s="129"/>
      <c r="S201" s="129"/>
      <c r="T201" s="129"/>
      <c r="U201" s="129"/>
      <c r="V201" s="129"/>
    </row>
    <row r="202" spans="1:22" s="63" customFormat="1" ht="22.5" x14ac:dyDescent="0.25">
      <c r="A202" s="84">
        <v>1.169</v>
      </c>
      <c r="B202" s="81" t="s">
        <v>38</v>
      </c>
      <c r="C202" s="82">
        <v>83</v>
      </c>
      <c r="D202" s="131" t="s">
        <v>305</v>
      </c>
      <c r="E202" s="83" t="s">
        <v>306</v>
      </c>
      <c r="F202" s="81" t="s">
        <v>226</v>
      </c>
      <c r="G202" s="88">
        <v>1.1059000000000001</v>
      </c>
      <c r="H202" s="85"/>
      <c r="I202" s="86">
        <v>79617.78</v>
      </c>
      <c r="J202" s="185">
        <f t="shared" ref="J202:J207" si="32">ROUND($I202/$G202*$N$11,2)</f>
        <v>81971.97</v>
      </c>
      <c r="K202" s="189">
        <f t="shared" ref="K202:K207" si="33">ROUND(G202*J202,2)</f>
        <v>90652.800000000003</v>
      </c>
      <c r="L202" s="189"/>
      <c r="M202" s="138"/>
      <c r="N202" s="139"/>
      <c r="O202" s="139"/>
      <c r="S202" s="72"/>
      <c r="T202" s="72"/>
      <c r="U202" s="72"/>
      <c r="V202" s="72"/>
    </row>
    <row r="203" spans="1:22" s="63" customFormat="1" ht="22.5" x14ac:dyDescent="0.25">
      <c r="A203" s="84">
        <v>1.17</v>
      </c>
      <c r="B203" s="81" t="s">
        <v>38</v>
      </c>
      <c r="C203" s="80">
        <v>83.1</v>
      </c>
      <c r="D203" s="131" t="s">
        <v>307</v>
      </c>
      <c r="E203" s="83" t="s">
        <v>308</v>
      </c>
      <c r="F203" s="81" t="s">
        <v>226</v>
      </c>
      <c r="G203" s="88">
        <v>1.0933999999999999</v>
      </c>
      <c r="H203" s="85"/>
      <c r="I203" s="86">
        <v>81587.58</v>
      </c>
      <c r="J203" s="185">
        <f t="shared" si="32"/>
        <v>84960.320000000007</v>
      </c>
      <c r="K203" s="189">
        <f t="shared" si="33"/>
        <v>92895.61</v>
      </c>
      <c r="L203" s="189"/>
      <c r="M203" s="138"/>
      <c r="N203" s="139"/>
      <c r="O203" s="139"/>
      <c r="S203" s="72"/>
      <c r="T203" s="72"/>
      <c r="U203" s="72"/>
      <c r="V203" s="72"/>
    </row>
    <row r="204" spans="1:22" s="63" customFormat="1" ht="22.5" x14ac:dyDescent="0.25">
      <c r="A204" s="84">
        <v>1.171</v>
      </c>
      <c r="B204" s="81" t="s">
        <v>38</v>
      </c>
      <c r="C204" s="80">
        <v>83.2</v>
      </c>
      <c r="D204" s="131" t="s">
        <v>309</v>
      </c>
      <c r="E204" s="83" t="s">
        <v>310</v>
      </c>
      <c r="F204" s="81" t="s">
        <v>226</v>
      </c>
      <c r="G204" s="88">
        <v>1.2500000000000001E-2</v>
      </c>
      <c r="H204" s="85"/>
      <c r="I204" s="86">
        <v>825.75</v>
      </c>
      <c r="J204" s="185">
        <f t="shared" si="32"/>
        <v>75215.92</v>
      </c>
      <c r="K204" s="189">
        <f t="shared" si="33"/>
        <v>940.2</v>
      </c>
      <c r="L204" s="189"/>
      <c r="M204" s="138"/>
      <c r="N204" s="139"/>
      <c r="O204" s="139"/>
      <c r="S204" s="72"/>
      <c r="T204" s="72"/>
      <c r="U204" s="72"/>
      <c r="V204" s="72"/>
    </row>
    <row r="205" spans="1:22" s="63" customFormat="1" ht="22.5" x14ac:dyDescent="0.25">
      <c r="A205" s="84">
        <v>1.1719999999999999</v>
      </c>
      <c r="B205" s="81" t="s">
        <v>38</v>
      </c>
      <c r="C205" s="82">
        <v>84</v>
      </c>
      <c r="D205" s="131" t="s">
        <v>311</v>
      </c>
      <c r="E205" s="83" t="s">
        <v>312</v>
      </c>
      <c r="F205" s="81" t="s">
        <v>207</v>
      </c>
      <c r="G205" s="84">
        <v>0.27300000000000002</v>
      </c>
      <c r="H205" s="85"/>
      <c r="I205" s="86">
        <v>11996.21</v>
      </c>
      <c r="J205" s="185">
        <f t="shared" si="32"/>
        <v>50032.54</v>
      </c>
      <c r="K205" s="189">
        <f t="shared" si="33"/>
        <v>13658.88</v>
      </c>
      <c r="L205" s="189"/>
      <c r="M205" s="138"/>
      <c r="N205" s="139"/>
      <c r="O205" s="139"/>
      <c r="S205" s="72"/>
      <c r="T205" s="72"/>
      <c r="U205" s="72"/>
      <c r="V205" s="72"/>
    </row>
    <row r="206" spans="1:22" s="63" customFormat="1" ht="22.5" x14ac:dyDescent="0.25">
      <c r="A206" s="84">
        <v>1.173</v>
      </c>
      <c r="B206" s="81" t="s">
        <v>38</v>
      </c>
      <c r="C206" s="80">
        <v>84.1</v>
      </c>
      <c r="D206" s="131" t="s">
        <v>313</v>
      </c>
      <c r="E206" s="83" t="s">
        <v>314</v>
      </c>
      <c r="F206" s="81" t="s">
        <v>226</v>
      </c>
      <c r="G206" s="89">
        <v>0.27027000000000001</v>
      </c>
      <c r="H206" s="85"/>
      <c r="I206" s="86">
        <v>21979.07</v>
      </c>
      <c r="J206" s="185">
        <f t="shared" si="32"/>
        <v>92593.96</v>
      </c>
      <c r="K206" s="189">
        <f t="shared" si="33"/>
        <v>25025.37</v>
      </c>
      <c r="L206" s="189"/>
      <c r="M206" s="138"/>
      <c r="N206" s="139"/>
      <c r="O206" s="139"/>
      <c r="S206" s="72"/>
      <c r="T206" s="72"/>
      <c r="U206" s="72"/>
      <c r="V206" s="72"/>
    </row>
    <row r="207" spans="1:22" s="63" customFormat="1" ht="15" x14ac:dyDescent="0.25">
      <c r="A207" s="84">
        <v>1.1739999999999999</v>
      </c>
      <c r="B207" s="81" t="s">
        <v>38</v>
      </c>
      <c r="C207" s="82">
        <v>85</v>
      </c>
      <c r="D207" s="131" t="s">
        <v>315</v>
      </c>
      <c r="E207" s="83" t="s">
        <v>316</v>
      </c>
      <c r="F207" s="81" t="s">
        <v>207</v>
      </c>
      <c r="G207" s="84">
        <v>0.38500000000000001</v>
      </c>
      <c r="H207" s="85"/>
      <c r="I207" s="86">
        <v>5191.1899999999996</v>
      </c>
      <c r="J207" s="185">
        <f t="shared" si="32"/>
        <v>15352.44</v>
      </c>
      <c r="K207" s="189">
        <f t="shared" si="33"/>
        <v>5910.69</v>
      </c>
      <c r="L207" s="189"/>
      <c r="M207" s="138"/>
      <c r="N207" s="139"/>
      <c r="O207" s="139"/>
      <c r="S207" s="72"/>
      <c r="T207" s="72"/>
      <c r="U207" s="72"/>
      <c r="V207" s="72"/>
    </row>
    <row r="208" spans="1:22" s="128" customFormat="1" ht="12.75" x14ac:dyDescent="0.25">
      <c r="A208" s="242"/>
      <c r="B208" s="125"/>
      <c r="C208" s="76"/>
      <c r="D208" s="77"/>
      <c r="E208" s="126" t="s">
        <v>3223</v>
      </c>
      <c r="F208" s="125"/>
      <c r="G208" s="242"/>
      <c r="H208" s="127"/>
      <c r="I208" s="78"/>
      <c r="J208" s="238"/>
      <c r="K208" s="239"/>
      <c r="L208" s="239"/>
      <c r="M208" s="79"/>
      <c r="N208" s="129"/>
      <c r="O208" s="129"/>
      <c r="S208" s="129"/>
      <c r="T208" s="129"/>
      <c r="U208" s="129"/>
      <c r="V208" s="129"/>
    </row>
    <row r="209" spans="1:22" s="128" customFormat="1" ht="12.75" x14ac:dyDescent="0.25">
      <c r="A209" s="242"/>
      <c r="B209" s="125"/>
      <c r="C209" s="76"/>
      <c r="D209" s="77"/>
      <c r="E209" s="126" t="s">
        <v>3224</v>
      </c>
      <c r="F209" s="125"/>
      <c r="G209" s="242"/>
      <c r="H209" s="127"/>
      <c r="I209" s="78"/>
      <c r="J209" s="238"/>
      <c r="K209" s="239"/>
      <c r="L209" s="239"/>
      <c r="M209" s="79"/>
      <c r="N209" s="129"/>
      <c r="O209" s="129"/>
      <c r="S209" s="129"/>
      <c r="T209" s="129"/>
      <c r="U209" s="129"/>
      <c r="V209" s="129"/>
    </row>
    <row r="210" spans="1:22" s="63" customFormat="1" ht="15" x14ac:dyDescent="0.25">
      <c r="A210" s="84">
        <v>1.175</v>
      </c>
      <c r="B210" s="81" t="s">
        <v>38</v>
      </c>
      <c r="C210" s="82">
        <v>86</v>
      </c>
      <c r="D210" s="131" t="s">
        <v>294</v>
      </c>
      <c r="E210" s="83" t="s">
        <v>295</v>
      </c>
      <c r="F210" s="81" t="s">
        <v>196</v>
      </c>
      <c r="G210" s="88">
        <v>6.1000000000000004E-3</v>
      </c>
      <c r="H210" s="85"/>
      <c r="I210" s="86">
        <v>1225.4100000000001</v>
      </c>
      <c r="J210" s="185">
        <f t="shared" ref="J210:J216" si="34">ROUND($I210/$G210*$N$11,2)</f>
        <v>228729.81</v>
      </c>
      <c r="K210" s="189">
        <f t="shared" ref="K210:K216" si="35">ROUND(G210*J210,2)</f>
        <v>1395.25</v>
      </c>
      <c r="L210" s="189"/>
      <c r="M210" s="138"/>
      <c r="N210" s="139"/>
      <c r="O210" s="139"/>
      <c r="S210" s="72"/>
      <c r="T210" s="72"/>
      <c r="U210" s="72"/>
      <c r="V210" s="72"/>
    </row>
    <row r="211" spans="1:22" s="63" customFormat="1" ht="22.5" x14ac:dyDescent="0.25">
      <c r="A211" s="84">
        <v>1.1759999999999999</v>
      </c>
      <c r="B211" s="81" t="s">
        <v>38</v>
      </c>
      <c r="C211" s="80">
        <v>86.1</v>
      </c>
      <c r="D211" s="131" t="s">
        <v>296</v>
      </c>
      <c r="E211" s="83" t="s">
        <v>297</v>
      </c>
      <c r="F211" s="81" t="s">
        <v>205</v>
      </c>
      <c r="G211" s="84">
        <v>0.622</v>
      </c>
      <c r="H211" s="85"/>
      <c r="I211" s="86">
        <v>2579.2800000000002</v>
      </c>
      <c r="J211" s="185">
        <f t="shared" si="34"/>
        <v>4721.49</v>
      </c>
      <c r="K211" s="189">
        <f t="shared" si="35"/>
        <v>2936.77</v>
      </c>
      <c r="L211" s="189"/>
      <c r="M211" s="138"/>
      <c r="N211" s="139"/>
      <c r="O211" s="139"/>
      <c r="S211" s="72"/>
      <c r="T211" s="72"/>
      <c r="U211" s="72"/>
      <c r="V211" s="72"/>
    </row>
    <row r="212" spans="1:22" s="63" customFormat="1" ht="15" x14ac:dyDescent="0.25">
      <c r="A212" s="84">
        <v>1.177</v>
      </c>
      <c r="B212" s="81" t="s">
        <v>38</v>
      </c>
      <c r="C212" s="82">
        <v>87</v>
      </c>
      <c r="D212" s="131" t="s">
        <v>300</v>
      </c>
      <c r="E212" s="83" t="s">
        <v>301</v>
      </c>
      <c r="F212" s="81" t="s">
        <v>196</v>
      </c>
      <c r="G212" s="88">
        <v>2.4500000000000001E-2</v>
      </c>
      <c r="H212" s="85"/>
      <c r="I212" s="86">
        <v>6627.49</v>
      </c>
      <c r="J212" s="185">
        <f t="shared" si="34"/>
        <v>308002.45</v>
      </c>
      <c r="K212" s="189">
        <f t="shared" si="35"/>
        <v>7546.06</v>
      </c>
      <c r="L212" s="189"/>
      <c r="M212" s="138"/>
      <c r="N212" s="139"/>
      <c r="O212" s="139"/>
      <c r="S212" s="72"/>
      <c r="T212" s="72"/>
      <c r="U212" s="72"/>
      <c r="V212" s="72"/>
    </row>
    <row r="213" spans="1:22" s="63" customFormat="1" ht="22.5" x14ac:dyDescent="0.25">
      <c r="A213" s="84">
        <v>1.1779999999999999</v>
      </c>
      <c r="B213" s="81" t="s">
        <v>38</v>
      </c>
      <c r="C213" s="80">
        <v>87.1</v>
      </c>
      <c r="D213" s="131" t="s">
        <v>233</v>
      </c>
      <c r="E213" s="83" t="s">
        <v>234</v>
      </c>
      <c r="F213" s="81" t="s">
        <v>205</v>
      </c>
      <c r="G213" s="84">
        <v>2.4870000000000001</v>
      </c>
      <c r="H213" s="85"/>
      <c r="I213" s="86">
        <v>18785.37</v>
      </c>
      <c r="J213" s="185">
        <f t="shared" si="34"/>
        <v>8600.33</v>
      </c>
      <c r="K213" s="189">
        <f t="shared" si="35"/>
        <v>21389.02</v>
      </c>
      <c r="L213" s="189"/>
      <c r="M213" s="138"/>
      <c r="N213" s="139"/>
      <c r="O213" s="139"/>
      <c r="S213" s="72"/>
      <c r="T213" s="72"/>
      <c r="U213" s="72"/>
      <c r="V213" s="72"/>
    </row>
    <row r="214" spans="1:22" s="63" customFormat="1" ht="22.5" x14ac:dyDescent="0.25">
      <c r="A214" s="84">
        <v>1.179</v>
      </c>
      <c r="B214" s="81" t="s">
        <v>38</v>
      </c>
      <c r="C214" s="80">
        <v>87.2</v>
      </c>
      <c r="D214" s="131" t="s">
        <v>235</v>
      </c>
      <c r="E214" s="83" t="s">
        <v>3433</v>
      </c>
      <c r="F214" s="81" t="s">
        <v>205</v>
      </c>
      <c r="G214" s="84">
        <v>2.4870000000000001</v>
      </c>
      <c r="H214" s="85"/>
      <c r="I214" s="86">
        <v>285.14</v>
      </c>
      <c r="J214" s="185">
        <f t="shared" si="34"/>
        <v>130.54</v>
      </c>
      <c r="K214" s="189">
        <f t="shared" si="35"/>
        <v>324.64999999999998</v>
      </c>
      <c r="L214" s="189"/>
      <c r="M214" s="138"/>
      <c r="N214" s="139"/>
      <c r="O214" s="139"/>
      <c r="S214" s="72"/>
      <c r="T214" s="72"/>
      <c r="U214" s="72"/>
      <c r="V214" s="72"/>
    </row>
    <row r="215" spans="1:22" s="63" customFormat="1" ht="22.5" x14ac:dyDescent="0.25">
      <c r="A215" s="84">
        <v>1.18</v>
      </c>
      <c r="B215" s="81" t="s">
        <v>38</v>
      </c>
      <c r="C215" s="80">
        <v>87.3</v>
      </c>
      <c r="D215" s="131" t="s">
        <v>278</v>
      </c>
      <c r="E215" s="83" t="s">
        <v>279</v>
      </c>
      <c r="F215" s="81" t="s">
        <v>226</v>
      </c>
      <c r="G215" s="84">
        <v>0.14499999999999999</v>
      </c>
      <c r="H215" s="85"/>
      <c r="I215" s="86">
        <v>7471.63</v>
      </c>
      <c r="J215" s="185">
        <f t="shared" si="34"/>
        <v>58670.33</v>
      </c>
      <c r="K215" s="189">
        <f t="shared" si="35"/>
        <v>8507.2000000000007</v>
      </c>
      <c r="L215" s="189"/>
      <c r="M215" s="138"/>
      <c r="N215" s="139"/>
      <c r="O215" s="139"/>
      <c r="S215" s="72"/>
      <c r="T215" s="72"/>
      <c r="U215" s="72"/>
      <c r="V215" s="72"/>
    </row>
    <row r="216" spans="1:22" s="63" customFormat="1" ht="22.5" x14ac:dyDescent="0.25">
      <c r="A216" s="84">
        <v>1.181</v>
      </c>
      <c r="B216" s="81" t="s">
        <v>38</v>
      </c>
      <c r="C216" s="80">
        <v>87.4</v>
      </c>
      <c r="D216" s="131" t="s">
        <v>224</v>
      </c>
      <c r="E216" s="83" t="s">
        <v>225</v>
      </c>
      <c r="F216" s="81" t="s">
        <v>226</v>
      </c>
      <c r="G216" s="84">
        <v>3.7999999999999999E-2</v>
      </c>
      <c r="H216" s="85"/>
      <c r="I216" s="86">
        <v>1875.72</v>
      </c>
      <c r="J216" s="185">
        <f t="shared" si="34"/>
        <v>56202.49</v>
      </c>
      <c r="K216" s="189">
        <f t="shared" si="35"/>
        <v>2135.69</v>
      </c>
      <c r="L216" s="189"/>
      <c r="M216" s="138"/>
      <c r="N216" s="139"/>
      <c r="O216" s="139"/>
      <c r="S216" s="72"/>
      <c r="T216" s="72"/>
      <c r="U216" s="72"/>
      <c r="V216" s="72"/>
    </row>
    <row r="217" spans="1:22" s="128" customFormat="1" ht="12.75" x14ac:dyDescent="0.25">
      <c r="A217" s="242"/>
      <c r="B217" s="125"/>
      <c r="C217" s="236"/>
      <c r="D217" s="77"/>
      <c r="E217" s="126" t="s">
        <v>3217</v>
      </c>
      <c r="F217" s="125"/>
      <c r="G217" s="242"/>
      <c r="H217" s="127"/>
      <c r="I217" s="78"/>
      <c r="J217" s="238"/>
      <c r="K217" s="239"/>
      <c r="L217" s="239"/>
      <c r="M217" s="79"/>
      <c r="N217" s="129"/>
      <c r="O217" s="129"/>
      <c r="S217" s="129"/>
      <c r="T217" s="129"/>
      <c r="U217" s="129"/>
      <c r="V217" s="129"/>
    </row>
    <row r="218" spans="1:22" s="63" customFormat="1" ht="15" x14ac:dyDescent="0.25">
      <c r="A218" s="84">
        <v>1.1819999999999999</v>
      </c>
      <c r="B218" s="81" t="s">
        <v>38</v>
      </c>
      <c r="C218" s="82">
        <v>88</v>
      </c>
      <c r="D218" s="131" t="s">
        <v>203</v>
      </c>
      <c r="E218" s="83" t="s">
        <v>204</v>
      </c>
      <c r="F218" s="81" t="s">
        <v>205</v>
      </c>
      <c r="G218" s="88">
        <v>4.0800000000000003E-2</v>
      </c>
      <c r="H218" s="85"/>
      <c r="I218" s="86">
        <v>211.43</v>
      </c>
      <c r="J218" s="185">
        <f>ROUND($I218/$G218*$N$11,2)</f>
        <v>5900.35</v>
      </c>
      <c r="K218" s="189">
        <f>ROUND(G218*J218,2)</f>
        <v>240.73</v>
      </c>
      <c r="L218" s="189"/>
      <c r="M218" s="138"/>
      <c r="N218" s="139"/>
      <c r="O218" s="139"/>
      <c r="S218" s="72"/>
      <c r="T218" s="72"/>
      <c r="U218" s="72"/>
      <c r="V218" s="72"/>
    </row>
    <row r="219" spans="1:22" s="63" customFormat="1" ht="33.75" x14ac:dyDescent="0.25">
      <c r="A219" s="84">
        <v>1.1830000000000001</v>
      </c>
      <c r="B219" s="81" t="s">
        <v>38</v>
      </c>
      <c r="C219" s="82">
        <v>89</v>
      </c>
      <c r="D219" s="131" t="s">
        <v>206</v>
      </c>
      <c r="E219" s="83" t="s">
        <v>304</v>
      </c>
      <c r="F219" s="81" t="s">
        <v>207</v>
      </c>
      <c r="G219" s="84">
        <v>0.13600000000000001</v>
      </c>
      <c r="H219" s="85"/>
      <c r="I219" s="86">
        <v>2502.48</v>
      </c>
      <c r="J219" s="185">
        <f>ROUND($I219/$G219*$N$11,2)</f>
        <v>20950.91</v>
      </c>
      <c r="K219" s="189">
        <f>ROUND(G219*J219,2)</f>
        <v>2849.32</v>
      </c>
      <c r="L219" s="189"/>
      <c r="M219" s="138"/>
      <c r="N219" s="139"/>
      <c r="O219" s="139"/>
      <c r="S219" s="72"/>
      <c r="T219" s="72"/>
      <c r="U219" s="72"/>
      <c r="V219" s="72"/>
    </row>
    <row r="220" spans="1:22" s="63" customFormat="1" ht="22.5" x14ac:dyDescent="0.25">
      <c r="A220" s="84">
        <v>1.1839999999999999</v>
      </c>
      <c r="B220" s="81" t="s">
        <v>38</v>
      </c>
      <c r="C220" s="80">
        <v>89.1</v>
      </c>
      <c r="D220" s="131" t="s">
        <v>208</v>
      </c>
      <c r="E220" s="83" t="s">
        <v>209</v>
      </c>
      <c r="F220" s="81" t="s">
        <v>210</v>
      </c>
      <c r="G220" s="80">
        <v>54.4</v>
      </c>
      <c r="H220" s="85"/>
      <c r="I220" s="86">
        <v>9526.2000000000007</v>
      </c>
      <c r="J220" s="185">
        <f>ROUND($I220/$G220*$N$11,2)</f>
        <v>199.38</v>
      </c>
      <c r="K220" s="189">
        <f>ROUND(G220*J220,2)</f>
        <v>10846.27</v>
      </c>
      <c r="L220" s="189"/>
      <c r="M220" s="138"/>
      <c r="N220" s="139"/>
      <c r="O220" s="139"/>
      <c r="S220" s="72"/>
      <c r="T220" s="72"/>
      <c r="U220" s="72"/>
      <c r="V220" s="72"/>
    </row>
    <row r="221" spans="1:22" s="63" customFormat="1" ht="22.5" x14ac:dyDescent="0.25">
      <c r="A221" s="84">
        <v>1.1850000000000001</v>
      </c>
      <c r="B221" s="81" t="s">
        <v>38</v>
      </c>
      <c r="C221" s="80">
        <v>89.2</v>
      </c>
      <c r="D221" s="131" t="s">
        <v>211</v>
      </c>
      <c r="E221" s="83" t="s">
        <v>212</v>
      </c>
      <c r="F221" s="81" t="s">
        <v>213</v>
      </c>
      <c r="G221" s="82">
        <v>17</v>
      </c>
      <c r="H221" s="85"/>
      <c r="I221" s="86">
        <v>18140.86</v>
      </c>
      <c r="J221" s="185">
        <f>ROUND($I221/$G221*$N$11,2)</f>
        <v>1215.01</v>
      </c>
      <c r="K221" s="189">
        <f>ROUND(G221*J221,2)</f>
        <v>20655.169999999998</v>
      </c>
      <c r="L221" s="189"/>
      <c r="M221" s="138"/>
      <c r="N221" s="139"/>
      <c r="O221" s="139"/>
      <c r="S221" s="72"/>
      <c r="T221" s="72"/>
      <c r="U221" s="72"/>
      <c r="V221" s="72"/>
    </row>
    <row r="222" spans="1:22" s="128" customFormat="1" ht="12.75" x14ac:dyDescent="0.25">
      <c r="A222" s="242"/>
      <c r="B222" s="125"/>
      <c r="C222" s="236"/>
      <c r="D222" s="77"/>
      <c r="E222" s="126" t="s">
        <v>3225</v>
      </c>
      <c r="F222" s="125"/>
      <c r="G222" s="76"/>
      <c r="H222" s="127"/>
      <c r="I222" s="78"/>
      <c r="J222" s="238"/>
      <c r="K222" s="239"/>
      <c r="L222" s="239"/>
      <c r="M222" s="79"/>
      <c r="N222" s="129"/>
      <c r="O222" s="129"/>
      <c r="S222" s="129"/>
      <c r="T222" s="129"/>
      <c r="U222" s="129"/>
      <c r="V222" s="129"/>
    </row>
    <row r="223" spans="1:22" s="63" customFormat="1" ht="15" x14ac:dyDescent="0.25">
      <c r="A223" s="84">
        <v>1.1859999999999999</v>
      </c>
      <c r="B223" s="81" t="s">
        <v>38</v>
      </c>
      <c r="C223" s="82">
        <v>92</v>
      </c>
      <c r="D223" s="131" t="s">
        <v>317</v>
      </c>
      <c r="E223" s="83" t="s">
        <v>318</v>
      </c>
      <c r="F223" s="81" t="s">
        <v>319</v>
      </c>
      <c r="G223" s="80">
        <v>0.1</v>
      </c>
      <c r="H223" s="85"/>
      <c r="I223" s="86">
        <v>2904.78</v>
      </c>
      <c r="J223" s="185">
        <f>ROUND($I223/$G223*$N$11,2)</f>
        <v>33073.83</v>
      </c>
      <c r="K223" s="189">
        <f>ROUND(G223*J223,2)</f>
        <v>3307.38</v>
      </c>
      <c r="L223" s="189"/>
      <c r="M223" s="138"/>
      <c r="N223" s="139"/>
      <c r="O223" s="139"/>
      <c r="S223" s="72"/>
      <c r="T223" s="72"/>
      <c r="U223" s="72"/>
      <c r="V223" s="72"/>
    </row>
    <row r="224" spans="1:22" s="63" customFormat="1" ht="22.5" x14ac:dyDescent="0.25">
      <c r="A224" s="84">
        <v>1.1870000000000001</v>
      </c>
      <c r="B224" s="81" t="s">
        <v>38</v>
      </c>
      <c r="C224" s="80">
        <v>92.1</v>
      </c>
      <c r="D224" s="131" t="s">
        <v>320</v>
      </c>
      <c r="E224" s="83" t="s">
        <v>321</v>
      </c>
      <c r="F224" s="81" t="s">
        <v>205</v>
      </c>
      <c r="G224" s="87">
        <v>-1.25</v>
      </c>
      <c r="H224" s="85"/>
      <c r="I224" s="86">
        <v>-1787.19</v>
      </c>
      <c r="J224" s="185">
        <f>ROUND($I224/$G224*$N$11,2)</f>
        <v>1627.92</v>
      </c>
      <c r="K224" s="189">
        <f>ROUND(G224*J224,2)</f>
        <v>-2034.9</v>
      </c>
      <c r="L224" s="189"/>
      <c r="M224" s="138"/>
      <c r="N224" s="139"/>
      <c r="O224" s="139"/>
      <c r="S224" s="72"/>
      <c r="T224" s="72"/>
      <c r="U224" s="72"/>
      <c r="V224" s="72"/>
    </row>
    <row r="225" spans="1:22" s="63" customFormat="1" ht="22.5" x14ac:dyDescent="0.25">
      <c r="A225" s="84">
        <v>1.1879999999999999</v>
      </c>
      <c r="B225" s="81" t="s">
        <v>38</v>
      </c>
      <c r="C225" s="80">
        <v>92.2</v>
      </c>
      <c r="D225" s="131" t="s">
        <v>322</v>
      </c>
      <c r="E225" s="83" t="s">
        <v>323</v>
      </c>
      <c r="F225" s="81" t="s">
        <v>205</v>
      </c>
      <c r="G225" s="87">
        <v>1.25</v>
      </c>
      <c r="H225" s="85"/>
      <c r="I225" s="86">
        <v>1756.29</v>
      </c>
      <c r="J225" s="185">
        <f>ROUND($I225/$G225*$N$11,2)</f>
        <v>1599.77</v>
      </c>
      <c r="K225" s="189">
        <f>ROUND(G225*J225,2)</f>
        <v>1999.71</v>
      </c>
      <c r="L225" s="189"/>
      <c r="M225" s="138"/>
      <c r="N225" s="139"/>
      <c r="O225" s="139"/>
      <c r="S225" s="72"/>
      <c r="T225" s="72"/>
      <c r="U225" s="72"/>
      <c r="V225" s="72"/>
    </row>
    <row r="226" spans="1:22" s="63" customFormat="1" ht="22.5" x14ac:dyDescent="0.25">
      <c r="A226" s="84">
        <v>1.1890000000000001</v>
      </c>
      <c r="B226" s="81" t="s">
        <v>38</v>
      </c>
      <c r="C226" s="80">
        <v>92.3</v>
      </c>
      <c r="D226" s="131" t="s">
        <v>324</v>
      </c>
      <c r="E226" s="83" t="s">
        <v>325</v>
      </c>
      <c r="F226" s="81" t="s">
        <v>226</v>
      </c>
      <c r="G226" s="88">
        <v>5.8999999999999999E-3</v>
      </c>
      <c r="H226" s="85"/>
      <c r="I226" s="86">
        <v>474.9</v>
      </c>
      <c r="J226" s="185">
        <f>ROUND($I226/$G226*$N$11,2)</f>
        <v>91647.65</v>
      </c>
      <c r="K226" s="189">
        <f>ROUND(G226*J226,2)</f>
        <v>540.72</v>
      </c>
      <c r="L226" s="189"/>
      <c r="M226" s="138"/>
      <c r="N226" s="139"/>
      <c r="O226" s="139"/>
      <c r="S226" s="72"/>
      <c r="T226" s="72"/>
      <c r="U226" s="72"/>
      <c r="V226" s="72"/>
    </row>
    <row r="227" spans="1:22" s="128" customFormat="1" ht="12.75" x14ac:dyDescent="0.25">
      <c r="A227" s="242"/>
      <c r="B227" s="125"/>
      <c r="C227" s="236"/>
      <c r="D227" s="77"/>
      <c r="E227" s="126" t="s">
        <v>3226</v>
      </c>
      <c r="F227" s="125"/>
      <c r="G227" s="240"/>
      <c r="H227" s="127"/>
      <c r="I227" s="78"/>
      <c r="J227" s="238"/>
      <c r="K227" s="239"/>
      <c r="L227" s="239"/>
      <c r="M227" s="79"/>
      <c r="N227" s="129"/>
      <c r="O227" s="129"/>
      <c r="S227" s="129"/>
      <c r="T227" s="129"/>
      <c r="U227" s="129"/>
      <c r="V227" s="129"/>
    </row>
    <row r="228" spans="1:22" s="63" customFormat="1" ht="22.5" x14ac:dyDescent="0.25">
      <c r="A228" s="84">
        <v>1.19</v>
      </c>
      <c r="B228" s="81" t="s">
        <v>38</v>
      </c>
      <c r="C228" s="82">
        <v>93</v>
      </c>
      <c r="D228" s="131" t="s">
        <v>305</v>
      </c>
      <c r="E228" s="83" t="s">
        <v>306</v>
      </c>
      <c r="F228" s="81" t="s">
        <v>226</v>
      </c>
      <c r="G228" s="89">
        <v>0.92252000000000001</v>
      </c>
      <c r="H228" s="85"/>
      <c r="I228" s="86">
        <v>66415.399999999994</v>
      </c>
      <c r="J228" s="185">
        <f t="shared" ref="J228:J233" si="36">ROUND($I228/$G228*$N$11,2)</f>
        <v>81971.75</v>
      </c>
      <c r="K228" s="189">
        <f t="shared" ref="K228:K233" si="37">ROUND(G228*J228,2)</f>
        <v>75620.58</v>
      </c>
      <c r="L228" s="189"/>
      <c r="M228" s="138"/>
      <c r="N228" s="139"/>
      <c r="O228" s="139"/>
      <c r="S228" s="72"/>
      <c r="T228" s="72"/>
      <c r="U228" s="72"/>
      <c r="V228" s="72"/>
    </row>
    <row r="229" spans="1:22" s="63" customFormat="1" ht="22.5" x14ac:dyDescent="0.25">
      <c r="A229" s="84">
        <v>1.1910000000000001</v>
      </c>
      <c r="B229" s="81" t="s">
        <v>38</v>
      </c>
      <c r="C229" s="80">
        <v>93.1</v>
      </c>
      <c r="D229" s="131" t="s">
        <v>307</v>
      </c>
      <c r="E229" s="83" t="s">
        <v>308</v>
      </c>
      <c r="F229" s="81" t="s">
        <v>226</v>
      </c>
      <c r="G229" s="89">
        <v>0.91391999999999995</v>
      </c>
      <c r="H229" s="85"/>
      <c r="I229" s="86">
        <v>68195.03</v>
      </c>
      <c r="J229" s="185">
        <f t="shared" si="36"/>
        <v>84960.24</v>
      </c>
      <c r="K229" s="189">
        <f t="shared" si="37"/>
        <v>77646.86</v>
      </c>
      <c r="L229" s="189"/>
      <c r="M229" s="138"/>
      <c r="N229" s="139"/>
      <c r="O229" s="139"/>
      <c r="S229" s="72"/>
      <c r="T229" s="72"/>
      <c r="U229" s="72"/>
      <c r="V229" s="72"/>
    </row>
    <row r="230" spans="1:22" s="63" customFormat="1" ht="22.5" x14ac:dyDescent="0.25">
      <c r="A230" s="84">
        <v>1.1919999999999999</v>
      </c>
      <c r="B230" s="81" t="s">
        <v>38</v>
      </c>
      <c r="C230" s="80">
        <v>93.2</v>
      </c>
      <c r="D230" s="131" t="s">
        <v>309</v>
      </c>
      <c r="E230" s="83" t="s">
        <v>310</v>
      </c>
      <c r="F230" s="81" t="s">
        <v>226</v>
      </c>
      <c r="G230" s="88">
        <v>8.6E-3</v>
      </c>
      <c r="H230" s="85"/>
      <c r="I230" s="86">
        <v>568.14</v>
      </c>
      <c r="J230" s="185">
        <f t="shared" si="36"/>
        <v>75219.09</v>
      </c>
      <c r="K230" s="189">
        <f t="shared" si="37"/>
        <v>646.88</v>
      </c>
      <c r="L230" s="189"/>
      <c r="M230" s="138"/>
      <c r="N230" s="139"/>
      <c r="O230" s="139"/>
      <c r="S230" s="72"/>
      <c r="T230" s="72"/>
      <c r="U230" s="72"/>
      <c r="V230" s="72"/>
    </row>
    <row r="231" spans="1:22" s="63" customFormat="1" ht="22.5" x14ac:dyDescent="0.25">
      <c r="A231" s="84">
        <v>1.1930000000000001</v>
      </c>
      <c r="B231" s="81" t="s">
        <v>38</v>
      </c>
      <c r="C231" s="82">
        <v>94</v>
      </c>
      <c r="D231" s="131" t="s">
        <v>311</v>
      </c>
      <c r="E231" s="83" t="s">
        <v>312</v>
      </c>
      <c r="F231" s="81" t="s">
        <v>207</v>
      </c>
      <c r="G231" s="84">
        <v>0.20200000000000001</v>
      </c>
      <c r="H231" s="85"/>
      <c r="I231" s="86">
        <v>8877.1200000000008</v>
      </c>
      <c r="J231" s="185">
        <f t="shared" si="36"/>
        <v>50037.07</v>
      </c>
      <c r="K231" s="189">
        <f t="shared" si="37"/>
        <v>10107.49</v>
      </c>
      <c r="L231" s="189"/>
      <c r="M231" s="138"/>
      <c r="N231" s="139"/>
      <c r="O231" s="139"/>
      <c r="S231" s="72"/>
      <c r="T231" s="72"/>
      <c r="U231" s="72"/>
      <c r="V231" s="72"/>
    </row>
    <row r="232" spans="1:22" s="63" customFormat="1" ht="22.5" x14ac:dyDescent="0.25">
      <c r="A232" s="84">
        <v>1.194</v>
      </c>
      <c r="B232" s="81" t="s">
        <v>38</v>
      </c>
      <c r="C232" s="80">
        <v>94.1</v>
      </c>
      <c r="D232" s="131" t="s">
        <v>313</v>
      </c>
      <c r="E232" s="83" t="s">
        <v>314</v>
      </c>
      <c r="F232" s="81" t="s">
        <v>226</v>
      </c>
      <c r="G232" s="89">
        <v>0.19997999999999999</v>
      </c>
      <c r="H232" s="85"/>
      <c r="I232" s="86">
        <v>16262.92</v>
      </c>
      <c r="J232" s="185">
        <f t="shared" si="36"/>
        <v>92594.06</v>
      </c>
      <c r="K232" s="189">
        <f t="shared" si="37"/>
        <v>18516.96</v>
      </c>
      <c r="L232" s="189"/>
      <c r="M232" s="138"/>
      <c r="N232" s="139"/>
      <c r="O232" s="139"/>
      <c r="S232" s="72"/>
      <c r="T232" s="72"/>
      <c r="U232" s="72"/>
      <c r="V232" s="72"/>
    </row>
    <row r="233" spans="1:22" s="63" customFormat="1" ht="15" x14ac:dyDescent="0.25">
      <c r="A233" s="84">
        <v>1.1950000000000001</v>
      </c>
      <c r="B233" s="81" t="s">
        <v>38</v>
      </c>
      <c r="C233" s="82">
        <v>95</v>
      </c>
      <c r="D233" s="131" t="s">
        <v>315</v>
      </c>
      <c r="E233" s="83" t="s">
        <v>316</v>
      </c>
      <c r="F233" s="81" t="s">
        <v>207</v>
      </c>
      <c r="G233" s="84">
        <v>0.32300000000000001</v>
      </c>
      <c r="H233" s="85"/>
      <c r="I233" s="86">
        <v>4355.8999999999996</v>
      </c>
      <c r="J233" s="185">
        <f t="shared" si="36"/>
        <v>15354.88</v>
      </c>
      <c r="K233" s="189">
        <f t="shared" si="37"/>
        <v>4959.63</v>
      </c>
      <c r="L233" s="189"/>
      <c r="M233" s="138"/>
      <c r="N233" s="139"/>
      <c r="O233" s="139"/>
      <c r="S233" s="72"/>
      <c r="T233" s="72"/>
      <c r="U233" s="72"/>
      <c r="V233" s="72"/>
    </row>
    <row r="234" spans="1:22" s="128" customFormat="1" ht="12.75" x14ac:dyDescent="0.25">
      <c r="A234" s="242"/>
      <c r="B234" s="125"/>
      <c r="C234" s="76"/>
      <c r="D234" s="77"/>
      <c r="E234" s="126" t="s">
        <v>3227</v>
      </c>
      <c r="F234" s="125"/>
      <c r="G234" s="242"/>
      <c r="H234" s="127"/>
      <c r="I234" s="78"/>
      <c r="J234" s="238"/>
      <c r="K234" s="239"/>
      <c r="L234" s="239"/>
      <c r="M234" s="79"/>
      <c r="N234" s="129"/>
      <c r="O234" s="129"/>
      <c r="S234" s="129"/>
      <c r="T234" s="129"/>
      <c r="U234" s="129"/>
      <c r="V234" s="129"/>
    </row>
    <row r="235" spans="1:22" s="128" customFormat="1" ht="12.75" x14ac:dyDescent="0.25">
      <c r="A235" s="242"/>
      <c r="B235" s="125"/>
      <c r="C235" s="76"/>
      <c r="D235" s="77"/>
      <c r="E235" s="126" t="s">
        <v>3228</v>
      </c>
      <c r="F235" s="125"/>
      <c r="G235" s="242"/>
      <c r="H235" s="127"/>
      <c r="I235" s="78"/>
      <c r="J235" s="238"/>
      <c r="K235" s="239"/>
      <c r="L235" s="239"/>
      <c r="M235" s="79"/>
      <c r="N235" s="129"/>
      <c r="O235" s="129"/>
      <c r="S235" s="129"/>
      <c r="T235" s="129"/>
      <c r="U235" s="129"/>
      <c r="V235" s="129"/>
    </row>
    <row r="236" spans="1:22" s="63" customFormat="1" ht="22.5" x14ac:dyDescent="0.25">
      <c r="A236" s="84">
        <v>1.196</v>
      </c>
      <c r="B236" s="81" t="s">
        <v>38</v>
      </c>
      <c r="C236" s="82">
        <v>97</v>
      </c>
      <c r="D236" s="131" t="s">
        <v>326</v>
      </c>
      <c r="E236" s="83" t="s">
        <v>327</v>
      </c>
      <c r="F236" s="81" t="s">
        <v>196</v>
      </c>
      <c r="G236" s="84">
        <v>0.109</v>
      </c>
      <c r="H236" s="85"/>
      <c r="I236" s="86">
        <v>131588.95000000001</v>
      </c>
      <c r="J236" s="185">
        <f>ROUND($I236/$G236*$N$11,2)</f>
        <v>1374561.27</v>
      </c>
      <c r="K236" s="189">
        <f>ROUND(G236*J236,2)</f>
        <v>149827.18</v>
      </c>
      <c r="L236" s="189"/>
      <c r="M236" s="138"/>
      <c r="N236" s="139"/>
      <c r="O236" s="139"/>
      <c r="S236" s="72"/>
      <c r="T236" s="72"/>
      <c r="U236" s="72"/>
      <c r="V236" s="72"/>
    </row>
    <row r="237" spans="1:22" s="63" customFormat="1" ht="22.5" x14ac:dyDescent="0.25">
      <c r="A237" s="84">
        <v>1.1970000000000001</v>
      </c>
      <c r="B237" s="81" t="s">
        <v>38</v>
      </c>
      <c r="C237" s="80">
        <v>97.1</v>
      </c>
      <c r="D237" s="131" t="s">
        <v>233</v>
      </c>
      <c r="E237" s="83" t="s">
        <v>234</v>
      </c>
      <c r="F237" s="81" t="s">
        <v>205</v>
      </c>
      <c r="G237" s="88">
        <v>11.063499999999999</v>
      </c>
      <c r="H237" s="85"/>
      <c r="I237" s="86">
        <v>83567.19</v>
      </c>
      <c r="J237" s="185">
        <f>ROUND($I237/$G237*$N$11,2)</f>
        <v>8600.32</v>
      </c>
      <c r="K237" s="189">
        <f>ROUND(G237*J237,2)</f>
        <v>95149.64</v>
      </c>
      <c r="L237" s="189"/>
      <c r="M237" s="138"/>
      <c r="N237" s="139"/>
      <c r="O237" s="139"/>
      <c r="S237" s="72"/>
      <c r="T237" s="72"/>
      <c r="U237" s="72"/>
      <c r="V237" s="72"/>
    </row>
    <row r="238" spans="1:22" s="63" customFormat="1" ht="22.5" x14ac:dyDescent="0.25">
      <c r="A238" s="84">
        <v>1.198</v>
      </c>
      <c r="B238" s="81" t="s">
        <v>38</v>
      </c>
      <c r="C238" s="80">
        <v>97.2</v>
      </c>
      <c r="D238" s="131" t="s">
        <v>235</v>
      </c>
      <c r="E238" s="83" t="s">
        <v>3433</v>
      </c>
      <c r="F238" s="81" t="s">
        <v>205</v>
      </c>
      <c r="G238" s="88">
        <v>11.2255</v>
      </c>
      <c r="H238" s="85"/>
      <c r="I238" s="86">
        <v>1286.8900000000001</v>
      </c>
      <c r="J238" s="185">
        <f>ROUND($I238/$G238*$N$11,2)</f>
        <v>130.53</v>
      </c>
      <c r="K238" s="189">
        <f>ROUND(G238*J238,2)</f>
        <v>1465.26</v>
      </c>
      <c r="L238" s="189"/>
      <c r="M238" s="138"/>
      <c r="N238" s="139"/>
      <c r="O238" s="139"/>
      <c r="S238" s="72"/>
      <c r="T238" s="72"/>
      <c r="U238" s="72"/>
      <c r="V238" s="72"/>
    </row>
    <row r="239" spans="1:22" s="63" customFormat="1" ht="22.5" x14ac:dyDescent="0.25">
      <c r="A239" s="84">
        <v>1.1990000000000001</v>
      </c>
      <c r="B239" s="81" t="s">
        <v>38</v>
      </c>
      <c r="C239" s="80">
        <v>97.3</v>
      </c>
      <c r="D239" s="131" t="s">
        <v>236</v>
      </c>
      <c r="E239" s="83" t="s">
        <v>237</v>
      </c>
      <c r="F239" s="81" t="s">
        <v>226</v>
      </c>
      <c r="G239" s="88">
        <v>0.25650000000000001</v>
      </c>
      <c r="H239" s="85"/>
      <c r="I239" s="86">
        <v>12720.07</v>
      </c>
      <c r="J239" s="185">
        <f>ROUND($I239/$G239*$N$11,2)</f>
        <v>56464.22</v>
      </c>
      <c r="K239" s="189">
        <f>ROUND(G239*J239,2)</f>
        <v>14483.07</v>
      </c>
      <c r="L239" s="189"/>
      <c r="M239" s="138"/>
      <c r="N239" s="139"/>
      <c r="O239" s="139"/>
      <c r="S239" s="72"/>
      <c r="T239" s="72"/>
      <c r="U239" s="72"/>
      <c r="V239" s="72"/>
    </row>
    <row r="240" spans="1:22" s="63" customFormat="1" ht="22.5" x14ac:dyDescent="0.25">
      <c r="A240" s="84">
        <v>1.2</v>
      </c>
      <c r="B240" s="81" t="s">
        <v>38</v>
      </c>
      <c r="C240" s="80">
        <v>97.4</v>
      </c>
      <c r="D240" s="131" t="s">
        <v>224</v>
      </c>
      <c r="E240" s="83" t="s">
        <v>225</v>
      </c>
      <c r="F240" s="81" t="s">
        <v>226</v>
      </c>
      <c r="G240" s="84">
        <v>1.2999999999999999E-2</v>
      </c>
      <c r="H240" s="85"/>
      <c r="I240" s="86">
        <v>641.66999999999996</v>
      </c>
      <c r="J240" s="185">
        <f>ROUND($I240/$G240*$N$11,2)</f>
        <v>56200.42</v>
      </c>
      <c r="K240" s="189">
        <f>ROUND(G240*J240,2)</f>
        <v>730.61</v>
      </c>
      <c r="L240" s="189"/>
      <c r="M240" s="138"/>
      <c r="N240" s="139"/>
      <c r="O240" s="139"/>
      <c r="S240" s="72"/>
      <c r="T240" s="72"/>
      <c r="U240" s="72"/>
      <c r="V240" s="72"/>
    </row>
    <row r="241" spans="1:22" s="128" customFormat="1" ht="12.75" x14ac:dyDescent="0.25">
      <c r="A241" s="242"/>
      <c r="B241" s="125"/>
      <c r="C241" s="236"/>
      <c r="D241" s="77"/>
      <c r="E241" s="126" t="s">
        <v>3229</v>
      </c>
      <c r="F241" s="125"/>
      <c r="G241" s="242"/>
      <c r="H241" s="127"/>
      <c r="I241" s="78"/>
      <c r="J241" s="238"/>
      <c r="K241" s="239"/>
      <c r="L241" s="239"/>
      <c r="M241" s="79"/>
      <c r="N241" s="129"/>
      <c r="O241" s="129"/>
      <c r="S241" s="129"/>
      <c r="T241" s="129"/>
      <c r="U241" s="129"/>
      <c r="V241" s="129"/>
    </row>
    <row r="242" spans="1:22" s="63" customFormat="1" ht="33.75" x14ac:dyDescent="0.25">
      <c r="A242" s="84">
        <v>1.2010000000000001</v>
      </c>
      <c r="B242" s="81" t="s">
        <v>38</v>
      </c>
      <c r="C242" s="82">
        <v>99</v>
      </c>
      <c r="D242" s="131" t="s">
        <v>206</v>
      </c>
      <c r="E242" s="83" t="s">
        <v>304</v>
      </c>
      <c r="F242" s="81" t="s">
        <v>207</v>
      </c>
      <c r="G242" s="88">
        <v>6.8999999999999999E-3</v>
      </c>
      <c r="H242" s="85"/>
      <c r="I242" s="86">
        <v>127.35</v>
      </c>
      <c r="J242" s="185">
        <f>ROUND($I242/$G242*$N$11,2)</f>
        <v>21014.6</v>
      </c>
      <c r="K242" s="189">
        <f>ROUND(G242*J242,2)</f>
        <v>145</v>
      </c>
      <c r="L242" s="189"/>
      <c r="M242" s="138"/>
      <c r="N242" s="139"/>
      <c r="O242" s="139"/>
      <c r="S242" s="72"/>
      <c r="T242" s="72"/>
      <c r="U242" s="72"/>
      <c r="V242" s="72"/>
    </row>
    <row r="243" spans="1:22" s="63" customFormat="1" ht="22.5" x14ac:dyDescent="0.25">
      <c r="A243" s="84">
        <v>1.202</v>
      </c>
      <c r="B243" s="81" t="s">
        <v>38</v>
      </c>
      <c r="C243" s="80">
        <v>99.1</v>
      </c>
      <c r="D243" s="131" t="s">
        <v>208</v>
      </c>
      <c r="E243" s="83" t="s">
        <v>209</v>
      </c>
      <c r="F243" s="81" t="s">
        <v>210</v>
      </c>
      <c r="G243" s="87">
        <v>2.76</v>
      </c>
      <c r="H243" s="85"/>
      <c r="I243" s="86">
        <v>483.34</v>
      </c>
      <c r="J243" s="185">
        <f>ROUND($I243/$G243*$N$11,2)</f>
        <v>199.4</v>
      </c>
      <c r="K243" s="189">
        <f>ROUND(G243*J243,2)</f>
        <v>550.34</v>
      </c>
      <c r="L243" s="189"/>
      <c r="M243" s="138"/>
      <c r="N243" s="139"/>
      <c r="O243" s="139"/>
      <c r="S243" s="72"/>
      <c r="T243" s="72"/>
      <c r="U243" s="72"/>
      <c r="V243" s="72"/>
    </row>
    <row r="244" spans="1:22" s="63" customFormat="1" ht="22.5" x14ac:dyDescent="0.25">
      <c r="A244" s="84">
        <v>1.2030000000000001</v>
      </c>
      <c r="B244" s="81" t="s">
        <v>38</v>
      </c>
      <c r="C244" s="80">
        <v>99.2</v>
      </c>
      <c r="D244" s="131" t="s">
        <v>211</v>
      </c>
      <c r="E244" s="83" t="s">
        <v>212</v>
      </c>
      <c r="F244" s="81" t="s">
        <v>213</v>
      </c>
      <c r="G244" s="88">
        <v>0.86250000000000004</v>
      </c>
      <c r="H244" s="85"/>
      <c r="I244" s="86">
        <v>920.41</v>
      </c>
      <c r="J244" s="185">
        <f>ROUND($I244/$G244*$N$11,2)</f>
        <v>1215.05</v>
      </c>
      <c r="K244" s="189">
        <f>ROUND(G244*J244,2)</f>
        <v>1047.98</v>
      </c>
      <c r="L244" s="189"/>
      <c r="M244" s="138"/>
      <c r="N244" s="139"/>
      <c r="O244" s="139"/>
      <c r="S244" s="72"/>
      <c r="T244" s="72"/>
      <c r="U244" s="72"/>
      <c r="V244" s="72"/>
    </row>
    <row r="245" spans="1:22" s="128" customFormat="1" ht="12.75" x14ac:dyDescent="0.25">
      <c r="A245" s="242"/>
      <c r="B245" s="125"/>
      <c r="C245" s="236"/>
      <c r="D245" s="77"/>
      <c r="E245" s="126" t="s">
        <v>3230</v>
      </c>
      <c r="F245" s="125"/>
      <c r="G245" s="240"/>
      <c r="H245" s="127"/>
      <c r="I245" s="78"/>
      <c r="J245" s="238"/>
      <c r="K245" s="239"/>
      <c r="L245" s="239"/>
      <c r="M245" s="79"/>
      <c r="N245" s="129"/>
      <c r="O245" s="129"/>
      <c r="S245" s="129"/>
      <c r="T245" s="129"/>
      <c r="U245" s="129"/>
      <c r="V245" s="129"/>
    </row>
    <row r="246" spans="1:22" s="63" customFormat="1" ht="15" x14ac:dyDescent="0.25">
      <c r="A246" s="84">
        <v>1.204</v>
      </c>
      <c r="B246" s="81" t="s">
        <v>38</v>
      </c>
      <c r="C246" s="82">
        <v>101</v>
      </c>
      <c r="D246" s="131" t="s">
        <v>317</v>
      </c>
      <c r="E246" s="83" t="s">
        <v>318</v>
      </c>
      <c r="F246" s="81" t="s">
        <v>319</v>
      </c>
      <c r="G246" s="88">
        <v>0.28620000000000001</v>
      </c>
      <c r="H246" s="85"/>
      <c r="I246" s="86">
        <v>8311.92</v>
      </c>
      <c r="J246" s="185">
        <f>ROUND($I246/$G246*$N$11,2)</f>
        <v>33067.620000000003</v>
      </c>
      <c r="K246" s="189">
        <f>ROUND(G246*J246,2)</f>
        <v>9463.9500000000007</v>
      </c>
      <c r="L246" s="189"/>
      <c r="M246" s="138"/>
      <c r="N246" s="139"/>
      <c r="O246" s="139"/>
      <c r="S246" s="72"/>
      <c r="T246" s="72"/>
      <c r="U246" s="72"/>
      <c r="V246" s="72"/>
    </row>
    <row r="247" spans="1:22" s="63" customFormat="1" ht="22.5" x14ac:dyDescent="0.25">
      <c r="A247" s="84">
        <v>1.2050000000000001</v>
      </c>
      <c r="B247" s="81" t="s">
        <v>38</v>
      </c>
      <c r="C247" s="80">
        <v>101.1</v>
      </c>
      <c r="D247" s="131" t="s">
        <v>320</v>
      </c>
      <c r="E247" s="83" t="s">
        <v>321</v>
      </c>
      <c r="F247" s="81" t="s">
        <v>205</v>
      </c>
      <c r="G247" s="88">
        <v>-3.5781000000000001</v>
      </c>
      <c r="H247" s="85"/>
      <c r="I247" s="86">
        <v>-5115.8599999999997</v>
      </c>
      <c r="J247" s="185">
        <f>ROUND($I247/$G247*$N$11,2)</f>
        <v>1627.94</v>
      </c>
      <c r="K247" s="189">
        <f>ROUND(G247*J247,2)</f>
        <v>-5824.93</v>
      </c>
      <c r="L247" s="189"/>
      <c r="M247" s="138"/>
      <c r="N247" s="139"/>
      <c r="O247" s="139"/>
      <c r="S247" s="72"/>
      <c r="T247" s="72"/>
      <c r="U247" s="72"/>
      <c r="V247" s="72"/>
    </row>
    <row r="248" spans="1:22" s="63" customFormat="1" ht="22.5" x14ac:dyDescent="0.25">
      <c r="A248" s="84">
        <v>1.206</v>
      </c>
      <c r="B248" s="81" t="s">
        <v>38</v>
      </c>
      <c r="C248" s="80">
        <v>101.2</v>
      </c>
      <c r="D248" s="131" t="s">
        <v>322</v>
      </c>
      <c r="E248" s="83" t="s">
        <v>323</v>
      </c>
      <c r="F248" s="81" t="s">
        <v>205</v>
      </c>
      <c r="G248" s="88">
        <v>3.5781000000000001</v>
      </c>
      <c r="H248" s="85"/>
      <c r="I248" s="86">
        <v>5027.2299999999996</v>
      </c>
      <c r="J248" s="185">
        <f>ROUND($I248/$G248*$N$11,2)</f>
        <v>1599.73</v>
      </c>
      <c r="K248" s="189">
        <f>ROUND(G248*J248,2)</f>
        <v>5723.99</v>
      </c>
      <c r="L248" s="189"/>
      <c r="M248" s="138"/>
      <c r="N248" s="139"/>
      <c r="O248" s="139"/>
      <c r="S248" s="72"/>
      <c r="T248" s="72"/>
      <c r="U248" s="72"/>
      <c r="V248" s="72"/>
    </row>
    <row r="249" spans="1:22" s="63" customFormat="1" ht="22.5" x14ac:dyDescent="0.25">
      <c r="A249" s="84">
        <v>1.2070000000000001</v>
      </c>
      <c r="B249" s="81" t="s">
        <v>38</v>
      </c>
      <c r="C249" s="80">
        <v>101.3</v>
      </c>
      <c r="D249" s="131" t="s">
        <v>324</v>
      </c>
      <c r="E249" s="83" t="s">
        <v>325</v>
      </c>
      <c r="F249" s="81" t="s">
        <v>226</v>
      </c>
      <c r="G249" s="88">
        <v>2.3599999999999999E-2</v>
      </c>
      <c r="H249" s="85"/>
      <c r="I249" s="86">
        <v>1899.7</v>
      </c>
      <c r="J249" s="185">
        <f>ROUND($I249/$G249*$N$11,2)</f>
        <v>91652.479999999996</v>
      </c>
      <c r="K249" s="189">
        <f>ROUND(G249*J249,2)</f>
        <v>2163</v>
      </c>
      <c r="L249" s="189"/>
      <c r="M249" s="138"/>
      <c r="N249" s="139"/>
      <c r="O249" s="139"/>
      <c r="S249" s="72"/>
      <c r="T249" s="72"/>
      <c r="U249" s="72"/>
      <c r="V249" s="72"/>
    </row>
    <row r="250" spans="1:22" s="128" customFormat="1" ht="12.75" x14ac:dyDescent="0.25">
      <c r="A250" s="242"/>
      <c r="B250" s="125"/>
      <c r="C250" s="236"/>
      <c r="D250" s="77"/>
      <c r="E250" s="126" t="s">
        <v>3231</v>
      </c>
      <c r="F250" s="125"/>
      <c r="G250" s="240"/>
      <c r="H250" s="127"/>
      <c r="I250" s="78"/>
      <c r="J250" s="238"/>
      <c r="K250" s="239"/>
      <c r="L250" s="239"/>
      <c r="M250" s="79"/>
      <c r="N250" s="129"/>
      <c r="O250" s="129"/>
      <c r="S250" s="129"/>
      <c r="T250" s="129"/>
      <c r="U250" s="129"/>
      <c r="V250" s="129"/>
    </row>
    <row r="251" spans="1:22" s="63" customFormat="1" ht="33.75" x14ac:dyDescent="0.25">
      <c r="A251" s="84">
        <v>1.208</v>
      </c>
      <c r="B251" s="81" t="s">
        <v>38</v>
      </c>
      <c r="C251" s="82">
        <v>102</v>
      </c>
      <c r="D251" s="131" t="s">
        <v>328</v>
      </c>
      <c r="E251" s="83" t="s">
        <v>329</v>
      </c>
      <c r="F251" s="81" t="s">
        <v>226</v>
      </c>
      <c r="G251" s="84">
        <v>0.78700000000000003</v>
      </c>
      <c r="H251" s="85"/>
      <c r="I251" s="86">
        <v>108770.3</v>
      </c>
      <c r="J251" s="185">
        <f t="shared" ref="J251:J258" si="38">ROUND($I251/$G251*$N$11,2)</f>
        <v>157364.5</v>
      </c>
      <c r="K251" s="189">
        <f t="shared" ref="K251:K258" si="39">ROUND(G251*J251,2)</f>
        <v>123845.86</v>
      </c>
      <c r="L251" s="189"/>
      <c r="M251" s="138"/>
      <c r="N251" s="139"/>
      <c r="O251" s="139"/>
      <c r="S251" s="72"/>
      <c r="T251" s="72"/>
      <c r="U251" s="72"/>
      <c r="V251" s="72"/>
    </row>
    <row r="252" spans="1:22" s="63" customFormat="1" ht="22.5" x14ac:dyDescent="0.25">
      <c r="A252" s="84">
        <v>1.2090000000000001</v>
      </c>
      <c r="B252" s="81" t="s">
        <v>38</v>
      </c>
      <c r="C252" s="80">
        <v>102.1</v>
      </c>
      <c r="D252" s="131" t="s">
        <v>330</v>
      </c>
      <c r="E252" s="83" t="s">
        <v>331</v>
      </c>
      <c r="F252" s="81" t="s">
        <v>226</v>
      </c>
      <c r="G252" s="84">
        <v>0.107</v>
      </c>
      <c r="H252" s="85"/>
      <c r="I252" s="86">
        <v>4967.29</v>
      </c>
      <c r="J252" s="185">
        <f t="shared" si="38"/>
        <v>52857.54</v>
      </c>
      <c r="K252" s="189">
        <f t="shared" si="39"/>
        <v>5655.76</v>
      </c>
      <c r="L252" s="189"/>
      <c r="M252" s="138"/>
      <c r="N252" s="139"/>
      <c r="O252" s="139"/>
      <c r="S252" s="72"/>
      <c r="T252" s="72"/>
      <c r="U252" s="72"/>
      <c r="V252" s="72"/>
    </row>
    <row r="253" spans="1:22" s="63" customFormat="1" ht="22.5" x14ac:dyDescent="0.25">
      <c r="A253" s="84">
        <v>1.21</v>
      </c>
      <c r="B253" s="81" t="s">
        <v>38</v>
      </c>
      <c r="C253" s="80">
        <v>102.2</v>
      </c>
      <c r="D253" s="131" t="s">
        <v>332</v>
      </c>
      <c r="E253" s="83" t="s">
        <v>333</v>
      </c>
      <c r="F253" s="81" t="s">
        <v>334</v>
      </c>
      <c r="G253" s="87">
        <v>32.369999999999997</v>
      </c>
      <c r="H253" s="85"/>
      <c r="I253" s="86">
        <v>13271.34</v>
      </c>
      <c r="J253" s="185">
        <f t="shared" si="38"/>
        <v>466.81</v>
      </c>
      <c r="K253" s="189">
        <f t="shared" si="39"/>
        <v>15110.64</v>
      </c>
      <c r="L253" s="189"/>
      <c r="M253" s="138"/>
      <c r="N253" s="139"/>
      <c r="O253" s="139"/>
      <c r="S253" s="72"/>
      <c r="T253" s="72"/>
      <c r="U253" s="72"/>
      <c r="V253" s="72"/>
    </row>
    <row r="254" spans="1:22" s="63" customFormat="1" ht="22.5" x14ac:dyDescent="0.25">
      <c r="A254" s="84">
        <v>1.2110000000000001</v>
      </c>
      <c r="B254" s="81" t="s">
        <v>38</v>
      </c>
      <c r="C254" s="80">
        <v>102.3</v>
      </c>
      <c r="D254" s="131" t="s">
        <v>335</v>
      </c>
      <c r="E254" s="83" t="s">
        <v>336</v>
      </c>
      <c r="F254" s="81" t="s">
        <v>226</v>
      </c>
      <c r="G254" s="80">
        <v>0.5</v>
      </c>
      <c r="H254" s="85"/>
      <c r="I254" s="86">
        <v>21419.89</v>
      </c>
      <c r="J254" s="185">
        <f t="shared" si="38"/>
        <v>48777.37</v>
      </c>
      <c r="K254" s="189">
        <f t="shared" si="39"/>
        <v>24388.69</v>
      </c>
      <c r="L254" s="189"/>
      <c r="M254" s="138"/>
      <c r="N254" s="139"/>
      <c r="O254" s="139"/>
      <c r="S254" s="72"/>
      <c r="T254" s="72"/>
      <c r="U254" s="72"/>
      <c r="V254" s="72"/>
    </row>
    <row r="255" spans="1:22" s="63" customFormat="1" ht="22.5" x14ac:dyDescent="0.25">
      <c r="A255" s="84">
        <v>1.212</v>
      </c>
      <c r="B255" s="81" t="s">
        <v>38</v>
      </c>
      <c r="C255" s="80">
        <v>102.4</v>
      </c>
      <c r="D255" s="131" t="s">
        <v>337</v>
      </c>
      <c r="E255" s="83" t="s">
        <v>338</v>
      </c>
      <c r="F255" s="81" t="s">
        <v>219</v>
      </c>
      <c r="G255" s="82">
        <v>12</v>
      </c>
      <c r="H255" s="85"/>
      <c r="I255" s="86">
        <v>1307.49</v>
      </c>
      <c r="J255" s="185">
        <f t="shared" si="38"/>
        <v>124.06</v>
      </c>
      <c r="K255" s="189">
        <f t="shared" si="39"/>
        <v>1488.72</v>
      </c>
      <c r="L255" s="189"/>
      <c r="M255" s="138"/>
      <c r="N255" s="139"/>
      <c r="O255" s="139"/>
      <c r="S255" s="72"/>
      <c r="T255" s="72"/>
      <c r="U255" s="72"/>
      <c r="V255" s="72"/>
    </row>
    <row r="256" spans="1:22" s="63" customFormat="1" ht="15" x14ac:dyDescent="0.25">
      <c r="A256" s="84">
        <v>1.2130000000000001</v>
      </c>
      <c r="B256" s="81" t="s">
        <v>38</v>
      </c>
      <c r="C256" s="82">
        <v>103</v>
      </c>
      <c r="D256" s="131" t="s">
        <v>339</v>
      </c>
      <c r="E256" s="83" t="s">
        <v>340</v>
      </c>
      <c r="F256" s="81" t="s">
        <v>226</v>
      </c>
      <c r="G256" s="84">
        <v>0.78700000000000003</v>
      </c>
      <c r="H256" s="85"/>
      <c r="I256" s="86">
        <v>48974.19</v>
      </c>
      <c r="J256" s="185">
        <f t="shared" si="38"/>
        <v>70853.89</v>
      </c>
      <c r="K256" s="189">
        <f t="shared" si="39"/>
        <v>55762.01</v>
      </c>
      <c r="L256" s="189"/>
      <c r="M256" s="138"/>
      <c r="N256" s="139"/>
      <c r="O256" s="139"/>
      <c r="S256" s="72"/>
      <c r="T256" s="72"/>
      <c r="U256" s="72"/>
      <c r="V256" s="72"/>
    </row>
    <row r="257" spans="1:22" s="63" customFormat="1" ht="15" x14ac:dyDescent="0.25">
      <c r="A257" s="84">
        <v>1.214</v>
      </c>
      <c r="B257" s="81" t="s">
        <v>38</v>
      </c>
      <c r="C257" s="82">
        <v>104</v>
      </c>
      <c r="D257" s="131" t="s">
        <v>341</v>
      </c>
      <c r="E257" s="83" t="s">
        <v>342</v>
      </c>
      <c r="F257" s="81" t="s">
        <v>207</v>
      </c>
      <c r="G257" s="87">
        <v>0.28000000000000003</v>
      </c>
      <c r="H257" s="85"/>
      <c r="I257" s="86">
        <v>2089.36</v>
      </c>
      <c r="J257" s="185">
        <f t="shared" si="38"/>
        <v>8496.23</v>
      </c>
      <c r="K257" s="189">
        <f t="shared" si="39"/>
        <v>2378.94</v>
      </c>
      <c r="L257" s="189"/>
      <c r="M257" s="138"/>
      <c r="N257" s="139"/>
      <c r="O257" s="139"/>
      <c r="S257" s="72"/>
      <c r="T257" s="72"/>
      <c r="U257" s="72"/>
      <c r="V257" s="72"/>
    </row>
    <row r="258" spans="1:22" s="63" customFormat="1" ht="15" x14ac:dyDescent="0.25">
      <c r="A258" s="84">
        <v>1.2150000000000001</v>
      </c>
      <c r="B258" s="81" t="s">
        <v>38</v>
      </c>
      <c r="C258" s="82">
        <v>105</v>
      </c>
      <c r="D258" s="131" t="s">
        <v>315</v>
      </c>
      <c r="E258" s="83" t="s">
        <v>316</v>
      </c>
      <c r="F258" s="81" t="s">
        <v>207</v>
      </c>
      <c r="G258" s="87">
        <v>0.28000000000000003</v>
      </c>
      <c r="H258" s="85"/>
      <c r="I258" s="86">
        <v>3775.74</v>
      </c>
      <c r="J258" s="185">
        <f t="shared" si="38"/>
        <v>15353.78</v>
      </c>
      <c r="K258" s="189">
        <f t="shared" si="39"/>
        <v>4299.0600000000004</v>
      </c>
      <c r="L258" s="189"/>
      <c r="M258" s="138"/>
      <c r="N258" s="139"/>
      <c r="O258" s="139"/>
      <c r="S258" s="72"/>
      <c r="T258" s="72"/>
      <c r="U258" s="72"/>
      <c r="V258" s="72"/>
    </row>
    <row r="259" spans="1:22" s="128" customFormat="1" ht="12.75" x14ac:dyDescent="0.25">
      <c r="A259" s="242"/>
      <c r="B259" s="125"/>
      <c r="C259" s="76"/>
      <c r="D259" s="77"/>
      <c r="E259" s="126" t="s">
        <v>3232</v>
      </c>
      <c r="F259" s="125"/>
      <c r="G259" s="237"/>
      <c r="H259" s="127"/>
      <c r="I259" s="78"/>
      <c r="J259" s="238"/>
      <c r="K259" s="239"/>
      <c r="L259" s="239"/>
      <c r="M259" s="79"/>
      <c r="N259" s="129"/>
      <c r="O259" s="129"/>
      <c r="S259" s="129"/>
      <c r="T259" s="129"/>
      <c r="U259" s="129"/>
      <c r="V259" s="129"/>
    </row>
    <row r="260" spans="1:22" s="63" customFormat="1" ht="15" x14ac:dyDescent="0.25">
      <c r="A260" s="84">
        <v>1.216</v>
      </c>
      <c r="B260" s="81" t="s">
        <v>38</v>
      </c>
      <c r="C260" s="82">
        <v>110</v>
      </c>
      <c r="D260" s="131" t="s">
        <v>343</v>
      </c>
      <c r="E260" s="83" t="s">
        <v>344</v>
      </c>
      <c r="F260" s="81" t="s">
        <v>205</v>
      </c>
      <c r="G260" s="87">
        <v>16.350000000000001</v>
      </c>
      <c r="H260" s="85"/>
      <c r="I260" s="86">
        <v>55464.38</v>
      </c>
      <c r="J260" s="185">
        <f>ROUND($I260/$G260*$N$11,2)</f>
        <v>3862.49</v>
      </c>
      <c r="K260" s="189">
        <f>ROUND(G260*J260,2)</f>
        <v>63151.71</v>
      </c>
      <c r="L260" s="189"/>
      <c r="M260" s="138"/>
      <c r="N260" s="139"/>
      <c r="O260" s="139"/>
      <c r="S260" s="72"/>
      <c r="T260" s="72"/>
      <c r="U260" s="72"/>
      <c r="V260" s="72"/>
    </row>
    <row r="261" spans="1:22" s="63" customFormat="1" ht="22.5" x14ac:dyDescent="0.25">
      <c r="A261" s="84">
        <v>1.2170000000000001</v>
      </c>
      <c r="B261" s="81" t="s">
        <v>38</v>
      </c>
      <c r="C261" s="80">
        <v>110.1</v>
      </c>
      <c r="D261" s="131" t="s">
        <v>345</v>
      </c>
      <c r="E261" s="83" t="s">
        <v>346</v>
      </c>
      <c r="F261" s="81" t="s">
        <v>205</v>
      </c>
      <c r="G261" s="84">
        <v>21.254999999999999</v>
      </c>
      <c r="H261" s="85"/>
      <c r="I261" s="86">
        <v>29072.32</v>
      </c>
      <c r="J261" s="185">
        <f>ROUND($I261/$G261*$N$11,2)</f>
        <v>1557.36</v>
      </c>
      <c r="K261" s="189">
        <f>ROUND(G261*J261,2)</f>
        <v>33101.69</v>
      </c>
      <c r="L261" s="189"/>
      <c r="M261" s="138"/>
      <c r="N261" s="139"/>
      <c r="O261" s="139"/>
      <c r="S261" s="72"/>
      <c r="T261" s="72"/>
      <c r="U261" s="72"/>
      <c r="V261" s="72"/>
    </row>
    <row r="262" spans="1:22" s="63" customFormat="1" ht="15" x14ac:dyDescent="0.25">
      <c r="A262" s="84">
        <v>1.218</v>
      </c>
      <c r="B262" s="81" t="s">
        <v>38</v>
      </c>
      <c r="C262" s="82">
        <v>111</v>
      </c>
      <c r="D262" s="131" t="s">
        <v>294</v>
      </c>
      <c r="E262" s="83" t="s">
        <v>347</v>
      </c>
      <c r="F262" s="81" t="s">
        <v>196</v>
      </c>
      <c r="G262" s="84">
        <v>0.109</v>
      </c>
      <c r="H262" s="85"/>
      <c r="I262" s="86">
        <v>21901.66</v>
      </c>
      <c r="J262" s="185">
        <f>ROUND($I262/$G262*$N$11,2)</f>
        <v>228781.93</v>
      </c>
      <c r="K262" s="189">
        <f>ROUND(G262*J262,2)</f>
        <v>24937.23</v>
      </c>
      <c r="L262" s="189"/>
      <c r="M262" s="138"/>
      <c r="N262" s="139"/>
      <c r="O262" s="139"/>
      <c r="S262" s="72"/>
      <c r="T262" s="72"/>
      <c r="U262" s="72"/>
      <c r="V262" s="72"/>
    </row>
    <row r="263" spans="1:22" s="63" customFormat="1" ht="22.5" x14ac:dyDescent="0.25">
      <c r="A263" s="84">
        <v>1.2190000000000001</v>
      </c>
      <c r="B263" s="81" t="s">
        <v>38</v>
      </c>
      <c r="C263" s="80">
        <v>111.1</v>
      </c>
      <c r="D263" s="131" t="s">
        <v>348</v>
      </c>
      <c r="E263" s="83" t="s">
        <v>349</v>
      </c>
      <c r="F263" s="81" t="s">
        <v>205</v>
      </c>
      <c r="G263" s="84">
        <v>11.118</v>
      </c>
      <c r="H263" s="85"/>
      <c r="I263" s="86">
        <v>58426.14</v>
      </c>
      <c r="J263" s="185">
        <f>ROUND($I263/$G263*$N$11,2)</f>
        <v>5983.45</v>
      </c>
      <c r="K263" s="189">
        <f>ROUND(G263*J263,2)</f>
        <v>66524</v>
      </c>
      <c r="L263" s="189"/>
      <c r="M263" s="138"/>
      <c r="N263" s="139"/>
      <c r="O263" s="139"/>
      <c r="S263" s="72"/>
      <c r="T263" s="72"/>
      <c r="U263" s="72"/>
      <c r="V263" s="72"/>
    </row>
    <row r="264" spans="1:22" s="128" customFormat="1" ht="12.75" x14ac:dyDescent="0.25">
      <c r="A264" s="242"/>
      <c r="B264" s="125"/>
      <c r="C264" s="236"/>
      <c r="D264" s="77"/>
      <c r="E264" s="126" t="s">
        <v>3234</v>
      </c>
      <c r="F264" s="125"/>
      <c r="G264" s="242"/>
      <c r="H264" s="127"/>
      <c r="I264" s="78"/>
      <c r="J264" s="238"/>
      <c r="K264" s="239"/>
      <c r="L264" s="239"/>
      <c r="M264" s="79"/>
      <c r="N264" s="129"/>
      <c r="O264" s="129"/>
      <c r="S264" s="129"/>
      <c r="T264" s="129"/>
      <c r="U264" s="129"/>
      <c r="V264" s="129"/>
    </row>
    <row r="265" spans="1:22" s="63" customFormat="1" ht="33.75" x14ac:dyDescent="0.25">
      <c r="A265" s="84">
        <v>1.22</v>
      </c>
      <c r="B265" s="81" t="s">
        <v>38</v>
      </c>
      <c r="C265" s="82">
        <v>112</v>
      </c>
      <c r="D265" s="131" t="s">
        <v>350</v>
      </c>
      <c r="E265" s="83" t="s">
        <v>3428</v>
      </c>
      <c r="F265" s="81" t="s">
        <v>351</v>
      </c>
      <c r="G265" s="80">
        <v>25.6</v>
      </c>
      <c r="H265" s="85"/>
      <c r="I265" s="86">
        <v>353995.96</v>
      </c>
      <c r="J265" s="185">
        <f>ROUND($I265/$G265*$N$11,2)</f>
        <v>15744.52</v>
      </c>
      <c r="K265" s="189">
        <f>ROUND(G265*J265,2)</f>
        <v>403059.71</v>
      </c>
      <c r="L265" s="189"/>
      <c r="M265" s="138"/>
      <c r="N265" s="139"/>
      <c r="O265" s="139"/>
      <c r="S265" s="72"/>
      <c r="T265" s="72"/>
      <c r="U265" s="72"/>
      <c r="V265" s="72"/>
    </row>
    <row r="266" spans="1:22" s="128" customFormat="1" ht="12.75" x14ac:dyDescent="0.25">
      <c r="A266" s="242"/>
      <c r="B266" s="125"/>
      <c r="C266" s="76"/>
      <c r="D266" s="77"/>
      <c r="E266" s="126" t="s">
        <v>3233</v>
      </c>
      <c r="F266" s="125"/>
      <c r="G266" s="236"/>
      <c r="H266" s="127"/>
      <c r="I266" s="78"/>
      <c r="J266" s="238"/>
      <c r="K266" s="239"/>
      <c r="L266" s="239"/>
      <c r="M266" s="79"/>
      <c r="N266" s="129"/>
      <c r="O266" s="129"/>
      <c r="S266" s="129"/>
      <c r="T266" s="129"/>
      <c r="U266" s="129"/>
      <c r="V266" s="129"/>
    </row>
    <row r="267" spans="1:22" s="63" customFormat="1" ht="15" x14ac:dyDescent="0.25">
      <c r="A267" s="84">
        <v>1.2210000000000001</v>
      </c>
      <c r="B267" s="81" t="s">
        <v>38</v>
      </c>
      <c r="C267" s="82">
        <v>113</v>
      </c>
      <c r="D267" s="131" t="s">
        <v>352</v>
      </c>
      <c r="E267" s="83" t="s">
        <v>353</v>
      </c>
      <c r="F267" s="81" t="s">
        <v>354</v>
      </c>
      <c r="G267" s="87">
        <v>0.96</v>
      </c>
      <c r="H267" s="85"/>
      <c r="I267" s="86">
        <v>271375.68</v>
      </c>
      <c r="J267" s="185">
        <f t="shared" ref="J267:J275" si="40">ROUND($I267/$G267*$N$11,2)</f>
        <v>321862.86</v>
      </c>
      <c r="K267" s="189">
        <f t="shared" ref="K267:K275" si="41">ROUND(G267*J267,2)</f>
        <v>308988.34999999998</v>
      </c>
      <c r="L267" s="189"/>
      <c r="M267" s="138"/>
      <c r="N267" s="139"/>
      <c r="O267" s="139"/>
      <c r="S267" s="72"/>
      <c r="T267" s="72"/>
      <c r="U267" s="72"/>
      <c r="V267" s="72"/>
    </row>
    <row r="268" spans="1:22" s="63" customFormat="1" ht="15" x14ac:dyDescent="0.25">
      <c r="A268" s="84">
        <v>1.222</v>
      </c>
      <c r="B268" s="81" t="s">
        <v>38</v>
      </c>
      <c r="C268" s="80">
        <v>113.1</v>
      </c>
      <c r="D268" s="131" t="s">
        <v>355</v>
      </c>
      <c r="E268" s="83" t="s">
        <v>356</v>
      </c>
      <c r="F268" s="81" t="s">
        <v>219</v>
      </c>
      <c r="G268" s="82">
        <v>152</v>
      </c>
      <c r="H268" s="85"/>
      <c r="I268" s="86">
        <v>2102.34</v>
      </c>
      <c r="J268" s="185">
        <f t="shared" si="40"/>
        <v>15.75</v>
      </c>
      <c r="K268" s="189">
        <f t="shared" si="41"/>
        <v>2394</v>
      </c>
      <c r="L268" s="189"/>
      <c r="M268" s="138"/>
      <c r="N268" s="139"/>
      <c r="O268" s="139"/>
      <c r="S268" s="72"/>
      <c r="T268" s="72"/>
      <c r="U268" s="72"/>
      <c r="V268" s="72"/>
    </row>
    <row r="269" spans="1:22" s="63" customFormat="1" ht="22.5" x14ac:dyDescent="0.25">
      <c r="A269" s="84">
        <v>1.2230000000000001</v>
      </c>
      <c r="B269" s="81" t="s">
        <v>38</v>
      </c>
      <c r="C269" s="82">
        <v>114</v>
      </c>
      <c r="D269" s="131" t="s">
        <v>357</v>
      </c>
      <c r="E269" s="83" t="s">
        <v>358</v>
      </c>
      <c r="F269" s="81" t="s">
        <v>216</v>
      </c>
      <c r="G269" s="87">
        <v>6.08</v>
      </c>
      <c r="H269" s="85"/>
      <c r="I269" s="86">
        <v>38670.39</v>
      </c>
      <c r="J269" s="185">
        <f t="shared" si="40"/>
        <v>7241.79</v>
      </c>
      <c r="K269" s="189">
        <f t="shared" si="41"/>
        <v>44030.080000000002</v>
      </c>
      <c r="L269" s="189"/>
      <c r="M269" s="138"/>
      <c r="N269" s="139"/>
      <c r="O269" s="139"/>
      <c r="S269" s="72"/>
      <c r="T269" s="72"/>
      <c r="U269" s="72"/>
      <c r="V269" s="72"/>
    </row>
    <row r="270" spans="1:22" s="63" customFormat="1" ht="22.5" x14ac:dyDescent="0.25">
      <c r="A270" s="84">
        <v>1.224</v>
      </c>
      <c r="B270" s="81" t="s">
        <v>38</v>
      </c>
      <c r="C270" s="82">
        <v>115</v>
      </c>
      <c r="D270" s="131" t="s">
        <v>359</v>
      </c>
      <c r="E270" s="83" t="s">
        <v>3436</v>
      </c>
      <c r="F270" s="81" t="s">
        <v>216</v>
      </c>
      <c r="G270" s="87">
        <v>-6.08</v>
      </c>
      <c r="H270" s="85"/>
      <c r="I270" s="86">
        <v>-15230.61</v>
      </c>
      <c r="J270" s="185">
        <f t="shared" si="40"/>
        <v>2852.23</v>
      </c>
      <c r="K270" s="189">
        <f t="shared" si="41"/>
        <v>-17341.560000000001</v>
      </c>
      <c r="L270" s="189"/>
      <c r="M270" s="138"/>
      <c r="N270" s="139"/>
      <c r="O270" s="139"/>
      <c r="S270" s="72"/>
      <c r="T270" s="72"/>
      <c r="U270" s="72"/>
      <c r="V270" s="72"/>
    </row>
    <row r="271" spans="1:22" s="63" customFormat="1" ht="15" x14ac:dyDescent="0.25">
      <c r="A271" s="84">
        <v>1.2250000000000001</v>
      </c>
      <c r="B271" s="81" t="s">
        <v>38</v>
      </c>
      <c r="C271" s="82">
        <v>116</v>
      </c>
      <c r="D271" s="131" t="s">
        <v>360</v>
      </c>
      <c r="E271" s="83" t="s">
        <v>361</v>
      </c>
      <c r="F271" s="81" t="s">
        <v>226</v>
      </c>
      <c r="G271" s="90">
        <v>4.3399E-2</v>
      </c>
      <c r="H271" s="85"/>
      <c r="I271" s="86">
        <v>17004.07</v>
      </c>
      <c r="J271" s="185">
        <f t="shared" si="40"/>
        <v>446112.45</v>
      </c>
      <c r="K271" s="189">
        <f t="shared" si="41"/>
        <v>19360.830000000002</v>
      </c>
      <c r="L271" s="189"/>
      <c r="M271" s="138"/>
      <c r="N271" s="139"/>
      <c r="O271" s="139"/>
      <c r="S271" s="72"/>
      <c r="T271" s="72"/>
      <c r="U271" s="72"/>
      <c r="V271" s="72"/>
    </row>
    <row r="272" spans="1:22" s="63" customFormat="1" ht="22.5" x14ac:dyDescent="0.25">
      <c r="A272" s="84">
        <v>1.226</v>
      </c>
      <c r="B272" s="81" t="s">
        <v>38</v>
      </c>
      <c r="C272" s="80">
        <v>116.1</v>
      </c>
      <c r="D272" s="131" t="s">
        <v>362</v>
      </c>
      <c r="E272" s="83" t="s">
        <v>363</v>
      </c>
      <c r="F272" s="81" t="s">
        <v>226</v>
      </c>
      <c r="G272" s="90">
        <v>-4.3399E-2</v>
      </c>
      <c r="H272" s="85"/>
      <c r="I272" s="86">
        <v>-3831.81</v>
      </c>
      <c r="J272" s="185">
        <f t="shared" si="40"/>
        <v>100529.94</v>
      </c>
      <c r="K272" s="189">
        <f t="shared" si="41"/>
        <v>-4362.8999999999996</v>
      </c>
      <c r="L272" s="189"/>
      <c r="M272" s="138"/>
      <c r="N272" s="139"/>
      <c r="O272" s="139"/>
      <c r="S272" s="72"/>
      <c r="T272" s="72"/>
      <c r="U272" s="72"/>
      <c r="V272" s="72"/>
    </row>
    <row r="273" spans="1:22" s="63" customFormat="1" ht="22.5" x14ac:dyDescent="0.25">
      <c r="A273" s="84">
        <v>1.2270000000000001</v>
      </c>
      <c r="B273" s="81" t="s">
        <v>38</v>
      </c>
      <c r="C273" s="80">
        <v>116.2</v>
      </c>
      <c r="D273" s="131" t="s">
        <v>364</v>
      </c>
      <c r="E273" s="83" t="s">
        <v>365</v>
      </c>
      <c r="F273" s="81" t="s">
        <v>216</v>
      </c>
      <c r="G273" s="87">
        <v>6.08</v>
      </c>
      <c r="H273" s="85"/>
      <c r="I273" s="86">
        <v>14685.39</v>
      </c>
      <c r="J273" s="185">
        <f t="shared" si="40"/>
        <v>2750.13</v>
      </c>
      <c r="K273" s="189">
        <f t="shared" si="41"/>
        <v>16720.79</v>
      </c>
      <c r="L273" s="189"/>
      <c r="M273" s="138"/>
      <c r="N273" s="139"/>
      <c r="O273" s="139"/>
      <c r="S273" s="72"/>
      <c r="T273" s="72"/>
      <c r="U273" s="72"/>
      <c r="V273" s="72"/>
    </row>
    <row r="274" spans="1:22" s="63" customFormat="1" ht="22.5" x14ac:dyDescent="0.25">
      <c r="A274" s="84">
        <v>1.228</v>
      </c>
      <c r="B274" s="81" t="s">
        <v>38</v>
      </c>
      <c r="C274" s="82">
        <v>117</v>
      </c>
      <c r="D274" s="131" t="s">
        <v>366</v>
      </c>
      <c r="E274" s="83" t="s">
        <v>367</v>
      </c>
      <c r="F274" s="81" t="s">
        <v>207</v>
      </c>
      <c r="G274" s="84">
        <v>1.054</v>
      </c>
      <c r="H274" s="85"/>
      <c r="I274" s="86">
        <v>239750.27</v>
      </c>
      <c r="J274" s="185">
        <f t="shared" si="40"/>
        <v>258993.98</v>
      </c>
      <c r="K274" s="189">
        <f t="shared" si="41"/>
        <v>272979.65000000002</v>
      </c>
      <c r="L274" s="189"/>
      <c r="M274" s="138"/>
      <c r="N274" s="139"/>
      <c r="O274" s="139"/>
      <c r="S274" s="72"/>
      <c r="T274" s="72"/>
      <c r="U274" s="72"/>
      <c r="V274" s="72"/>
    </row>
    <row r="275" spans="1:22" s="63" customFormat="1" ht="22.5" x14ac:dyDescent="0.25">
      <c r="A275" s="84">
        <v>1.2290000000000001</v>
      </c>
      <c r="B275" s="81" t="s">
        <v>38</v>
      </c>
      <c r="C275" s="80">
        <v>117.1</v>
      </c>
      <c r="D275" s="131" t="s">
        <v>368</v>
      </c>
      <c r="E275" s="83" t="s">
        <v>369</v>
      </c>
      <c r="F275" s="81" t="s">
        <v>370</v>
      </c>
      <c r="G275" s="80">
        <v>105.4</v>
      </c>
      <c r="H275" s="85"/>
      <c r="I275" s="86">
        <v>26346.959999999999</v>
      </c>
      <c r="J275" s="185">
        <f t="shared" si="40"/>
        <v>284.62</v>
      </c>
      <c r="K275" s="189">
        <f t="shared" si="41"/>
        <v>29998.95</v>
      </c>
      <c r="L275" s="189"/>
      <c r="M275" s="138"/>
      <c r="N275" s="139"/>
      <c r="O275" s="139"/>
      <c r="S275" s="72"/>
      <c r="T275" s="72"/>
      <c r="U275" s="72"/>
      <c r="V275" s="72"/>
    </row>
    <row r="276" spans="1:22" s="128" customFormat="1" ht="12.75" x14ac:dyDescent="0.25">
      <c r="A276" s="242"/>
      <c r="B276" s="125"/>
      <c r="C276" s="236"/>
      <c r="D276" s="77"/>
      <c r="E276" s="126" t="s">
        <v>3235</v>
      </c>
      <c r="F276" s="125"/>
      <c r="G276" s="236"/>
      <c r="H276" s="127"/>
      <c r="I276" s="78"/>
      <c r="J276" s="238"/>
      <c r="K276" s="239"/>
      <c r="L276" s="239"/>
      <c r="M276" s="79"/>
      <c r="N276" s="129"/>
      <c r="O276" s="129"/>
      <c r="S276" s="129"/>
      <c r="T276" s="129"/>
      <c r="U276" s="129"/>
      <c r="V276" s="129"/>
    </row>
    <row r="277" spans="1:22" s="63" customFormat="1" ht="15" x14ac:dyDescent="0.25">
      <c r="A277" s="84">
        <v>1.23</v>
      </c>
      <c r="B277" s="81" t="s">
        <v>38</v>
      </c>
      <c r="C277" s="82">
        <v>118</v>
      </c>
      <c r="D277" s="131" t="s">
        <v>352</v>
      </c>
      <c r="E277" s="83" t="s">
        <v>353</v>
      </c>
      <c r="F277" s="81" t="s">
        <v>354</v>
      </c>
      <c r="G277" s="87">
        <v>0.12</v>
      </c>
      <c r="H277" s="85"/>
      <c r="I277" s="86">
        <v>33922.949999999997</v>
      </c>
      <c r="J277" s="185">
        <f>ROUND($I277/$G277*$N$11,2)</f>
        <v>321872.26</v>
      </c>
      <c r="K277" s="189">
        <f>ROUND(G277*J277,2)</f>
        <v>38624.67</v>
      </c>
      <c r="L277" s="189"/>
      <c r="M277" s="138"/>
      <c r="N277" s="139"/>
      <c r="O277" s="139"/>
      <c r="S277" s="72"/>
      <c r="T277" s="72"/>
      <c r="U277" s="72"/>
      <c r="V277" s="72"/>
    </row>
    <row r="278" spans="1:22" s="63" customFormat="1" ht="22.5" x14ac:dyDescent="0.25">
      <c r="A278" s="84">
        <v>1.2310000000000001</v>
      </c>
      <c r="B278" s="81" t="s">
        <v>38</v>
      </c>
      <c r="C278" s="80">
        <v>118.1</v>
      </c>
      <c r="D278" s="131" t="s">
        <v>371</v>
      </c>
      <c r="E278" s="83" t="s">
        <v>372</v>
      </c>
      <c r="F278" s="81" t="s">
        <v>226</v>
      </c>
      <c r="G278" s="88">
        <v>-0.25080000000000002</v>
      </c>
      <c r="H278" s="85"/>
      <c r="I278" s="86">
        <v>-26884.82</v>
      </c>
      <c r="J278" s="185">
        <f>ROUND($I278/$G278*$N$11,2)</f>
        <v>122053.65</v>
      </c>
      <c r="K278" s="189">
        <f>ROUND(G278*J278,2)</f>
        <v>-30611.06</v>
      </c>
      <c r="L278" s="189"/>
      <c r="M278" s="138"/>
      <c r="N278" s="139"/>
      <c r="O278" s="139"/>
      <c r="S278" s="72"/>
      <c r="T278" s="72"/>
      <c r="U278" s="72"/>
      <c r="V278" s="72"/>
    </row>
    <row r="279" spans="1:22" s="63" customFormat="1" ht="45" x14ac:dyDescent="0.25">
      <c r="A279" s="84">
        <v>1.232</v>
      </c>
      <c r="B279" s="81" t="s">
        <v>38</v>
      </c>
      <c r="C279" s="80">
        <v>118.2</v>
      </c>
      <c r="D279" s="131" t="s">
        <v>373</v>
      </c>
      <c r="E279" s="83" t="s">
        <v>3437</v>
      </c>
      <c r="F279" s="81" t="s">
        <v>334</v>
      </c>
      <c r="G279" s="82">
        <v>12</v>
      </c>
      <c r="H279" s="85"/>
      <c r="I279" s="86">
        <v>75309.33</v>
      </c>
      <c r="J279" s="185">
        <f>ROUND($I279/$G279*$N$11,2)</f>
        <v>7145.6</v>
      </c>
      <c r="K279" s="189">
        <f>ROUND(G279*J279,2)</f>
        <v>85747.199999999997</v>
      </c>
      <c r="L279" s="189"/>
      <c r="M279" s="138"/>
      <c r="N279" s="139"/>
      <c r="O279" s="139"/>
      <c r="S279" s="72"/>
      <c r="T279" s="72"/>
      <c r="U279" s="72"/>
      <c r="V279" s="72"/>
    </row>
    <row r="280" spans="1:22" s="63" customFormat="1" ht="15" x14ac:dyDescent="0.25">
      <c r="A280" s="194">
        <v>2</v>
      </c>
      <c r="B280" s="418" t="s">
        <v>374</v>
      </c>
      <c r="C280" s="418"/>
      <c r="D280" s="418"/>
      <c r="E280" s="195" t="s">
        <v>41</v>
      </c>
      <c r="F280" s="196"/>
      <c r="G280" s="194">
        <v>1</v>
      </c>
      <c r="H280" s="197">
        <v>15558898</v>
      </c>
      <c r="I280" s="355">
        <f>SUM(I283:I424)</f>
        <v>15558898.050000003</v>
      </c>
      <c r="J280" s="200"/>
      <c r="K280" s="198">
        <f>SUM(K283:K424)</f>
        <v>17715355.750000004</v>
      </c>
      <c r="L280" s="198"/>
      <c r="M280" s="207"/>
      <c r="N280" s="209"/>
      <c r="O280" s="138"/>
      <c r="S280" s="72"/>
      <c r="T280" s="72"/>
      <c r="U280" s="72"/>
      <c r="V280" s="72"/>
    </row>
    <row r="281" spans="1:22" s="224" customFormat="1" ht="15" x14ac:dyDescent="0.25">
      <c r="A281" s="216"/>
      <c r="B281" s="217"/>
      <c r="C281" s="217"/>
      <c r="D281" s="217"/>
      <c r="E281" s="218" t="s">
        <v>3236</v>
      </c>
      <c r="F281" s="219"/>
      <c r="G281" s="216"/>
      <c r="H281" s="220"/>
      <c r="I281" s="221"/>
      <c r="J281" s="244"/>
      <c r="K281" s="221"/>
      <c r="L281" s="221"/>
      <c r="M281" s="222"/>
      <c r="N281" s="223"/>
      <c r="O281" s="245"/>
      <c r="S281" s="225"/>
      <c r="T281" s="225"/>
      <c r="U281" s="225"/>
      <c r="V281" s="225"/>
    </row>
    <row r="282" spans="1:22" s="224" customFormat="1" ht="15" x14ac:dyDescent="0.25">
      <c r="A282" s="216"/>
      <c r="B282" s="217"/>
      <c r="C282" s="217"/>
      <c r="D282" s="217"/>
      <c r="E282" s="218" t="s">
        <v>3237</v>
      </c>
      <c r="F282" s="219"/>
      <c r="G282" s="216"/>
      <c r="H282" s="220"/>
      <c r="I282" s="221"/>
      <c r="J282" s="244"/>
      <c r="K282" s="221"/>
      <c r="L282" s="221"/>
      <c r="M282" s="222"/>
      <c r="N282" s="223"/>
      <c r="O282" s="245"/>
      <c r="S282" s="225"/>
      <c r="T282" s="225"/>
      <c r="U282" s="225"/>
      <c r="V282" s="225"/>
    </row>
    <row r="283" spans="1:22" s="63" customFormat="1" ht="22.5" x14ac:dyDescent="0.25">
      <c r="A283" s="80">
        <v>2.1</v>
      </c>
      <c r="B283" s="81" t="s">
        <v>40</v>
      </c>
      <c r="C283" s="82">
        <v>5</v>
      </c>
      <c r="D283" s="131" t="s">
        <v>375</v>
      </c>
      <c r="E283" s="83" t="s">
        <v>376</v>
      </c>
      <c r="F283" s="81" t="s">
        <v>207</v>
      </c>
      <c r="G283" s="88">
        <v>3.6015000000000001</v>
      </c>
      <c r="H283" s="85"/>
      <c r="I283" s="86">
        <f>475351.2+0.05</f>
        <v>475351.25</v>
      </c>
      <c r="J283" s="185">
        <f t="shared" ref="J283:J297" si="42">ROUND($I283/$G283*$N$11,2)</f>
        <v>150280.42000000001</v>
      </c>
      <c r="K283" s="189">
        <f t="shared" ref="K283:K297" si="43">ROUND(G283*J283,2)</f>
        <v>541234.93000000005</v>
      </c>
      <c r="L283" s="189"/>
      <c r="M283" s="138"/>
      <c r="N283" s="138"/>
      <c r="O283" s="138"/>
      <c r="S283" s="72"/>
      <c r="T283" s="72"/>
      <c r="U283" s="72"/>
      <c r="V283" s="72"/>
    </row>
    <row r="284" spans="1:22" s="63" customFormat="1" ht="22.5" x14ac:dyDescent="0.25">
      <c r="A284" s="80">
        <v>2.2000000000000002</v>
      </c>
      <c r="B284" s="81" t="s">
        <v>40</v>
      </c>
      <c r="C284" s="82">
        <v>6</v>
      </c>
      <c r="D284" s="131" t="s">
        <v>377</v>
      </c>
      <c r="E284" s="83" t="s">
        <v>378</v>
      </c>
      <c r="F284" s="81" t="s">
        <v>207</v>
      </c>
      <c r="G284" s="88">
        <v>3.6015000000000001</v>
      </c>
      <c r="H284" s="85"/>
      <c r="I284" s="86">
        <v>113968.01</v>
      </c>
      <c r="J284" s="185">
        <f t="shared" si="42"/>
        <v>36030.54</v>
      </c>
      <c r="K284" s="189">
        <f t="shared" si="43"/>
        <v>129763.99</v>
      </c>
      <c r="L284" s="189"/>
      <c r="M284" s="138"/>
      <c r="N284" s="138"/>
      <c r="O284" s="138"/>
      <c r="S284" s="72"/>
      <c r="T284" s="72"/>
      <c r="U284" s="72"/>
      <c r="V284" s="72"/>
    </row>
    <row r="285" spans="1:22" s="63" customFormat="1" ht="22.5" x14ac:dyDescent="0.25">
      <c r="A285" s="80">
        <v>2.2999999999999998</v>
      </c>
      <c r="B285" s="81" t="s">
        <v>40</v>
      </c>
      <c r="C285" s="80">
        <v>6.1</v>
      </c>
      <c r="D285" s="131" t="s">
        <v>379</v>
      </c>
      <c r="E285" s="83" t="s">
        <v>380</v>
      </c>
      <c r="F285" s="81" t="s">
        <v>205</v>
      </c>
      <c r="G285" s="89">
        <v>9.0037500000000001</v>
      </c>
      <c r="H285" s="85"/>
      <c r="I285" s="86">
        <v>72775.06</v>
      </c>
      <c r="J285" s="185">
        <f t="shared" si="42"/>
        <v>9203.02</v>
      </c>
      <c r="K285" s="189">
        <f t="shared" si="43"/>
        <v>82861.69</v>
      </c>
      <c r="L285" s="189"/>
      <c r="M285" s="138"/>
      <c r="N285" s="138"/>
      <c r="O285" s="138"/>
      <c r="S285" s="72"/>
      <c r="T285" s="72"/>
      <c r="U285" s="72"/>
      <c r="V285" s="72"/>
    </row>
    <row r="286" spans="1:22" s="63" customFormat="1" ht="15" x14ac:dyDescent="0.25">
      <c r="A286" s="80">
        <v>2.4</v>
      </c>
      <c r="B286" s="81" t="s">
        <v>40</v>
      </c>
      <c r="C286" s="82">
        <v>7</v>
      </c>
      <c r="D286" s="131" t="s">
        <v>381</v>
      </c>
      <c r="E286" s="83" t="s">
        <v>382</v>
      </c>
      <c r="F286" s="81" t="s">
        <v>207</v>
      </c>
      <c r="G286" s="88">
        <v>3.6015000000000001</v>
      </c>
      <c r="H286" s="85"/>
      <c r="I286" s="86">
        <v>137261.88</v>
      </c>
      <c r="J286" s="185">
        <f t="shared" si="42"/>
        <v>43394.8</v>
      </c>
      <c r="K286" s="189">
        <f t="shared" si="43"/>
        <v>156286.37</v>
      </c>
      <c r="L286" s="189"/>
      <c r="M286" s="138"/>
      <c r="N286" s="138"/>
      <c r="O286" s="138"/>
      <c r="S286" s="72"/>
      <c r="T286" s="72"/>
      <c r="U286" s="72"/>
      <c r="V286" s="72"/>
    </row>
    <row r="287" spans="1:22" s="63" customFormat="1" ht="22.5" x14ac:dyDescent="0.25">
      <c r="A287" s="80">
        <v>2.5</v>
      </c>
      <c r="B287" s="81" t="s">
        <v>40</v>
      </c>
      <c r="C287" s="80">
        <v>7.1</v>
      </c>
      <c r="D287" s="131" t="s">
        <v>383</v>
      </c>
      <c r="E287" s="83" t="s">
        <v>384</v>
      </c>
      <c r="F287" s="81" t="s">
        <v>205</v>
      </c>
      <c r="G287" s="84">
        <v>7.3470000000000004</v>
      </c>
      <c r="H287" s="85"/>
      <c r="I287" s="86">
        <v>54925.38</v>
      </c>
      <c r="J287" s="185">
        <f t="shared" si="42"/>
        <v>8512.0499999999993</v>
      </c>
      <c r="K287" s="189">
        <f t="shared" si="43"/>
        <v>62538.03</v>
      </c>
      <c r="L287" s="189"/>
      <c r="M287" s="138"/>
      <c r="N287" s="138"/>
      <c r="O287" s="138"/>
      <c r="S287" s="72"/>
      <c r="T287" s="72"/>
      <c r="U287" s="72"/>
      <c r="V287" s="72"/>
    </row>
    <row r="288" spans="1:22" s="63" customFormat="1" ht="22.5" x14ac:dyDescent="0.25">
      <c r="A288" s="80">
        <v>2.6</v>
      </c>
      <c r="B288" s="81" t="s">
        <v>40</v>
      </c>
      <c r="C288" s="82">
        <v>8</v>
      </c>
      <c r="D288" s="131" t="s">
        <v>385</v>
      </c>
      <c r="E288" s="83" t="s">
        <v>3438</v>
      </c>
      <c r="F288" s="81" t="s">
        <v>207</v>
      </c>
      <c r="G288" s="88">
        <v>3.6015000000000001</v>
      </c>
      <c r="H288" s="85"/>
      <c r="I288" s="86">
        <v>11095.06</v>
      </c>
      <c r="J288" s="185">
        <f t="shared" si="42"/>
        <v>3507.66</v>
      </c>
      <c r="K288" s="189">
        <f t="shared" si="43"/>
        <v>12632.84</v>
      </c>
      <c r="L288" s="189"/>
      <c r="M288" s="138"/>
      <c r="N288" s="138"/>
      <c r="O288" s="138"/>
      <c r="S288" s="72"/>
      <c r="T288" s="72"/>
      <c r="U288" s="72"/>
      <c r="V288" s="72"/>
    </row>
    <row r="289" spans="1:22" s="63" customFormat="1" ht="22.5" x14ac:dyDescent="0.25">
      <c r="A289" s="80">
        <v>2.7</v>
      </c>
      <c r="B289" s="81" t="s">
        <v>40</v>
      </c>
      <c r="C289" s="80">
        <v>8.1</v>
      </c>
      <c r="D289" s="131" t="s">
        <v>383</v>
      </c>
      <c r="E289" s="83" t="s">
        <v>384</v>
      </c>
      <c r="F289" s="81" t="s">
        <v>205</v>
      </c>
      <c r="G289" s="84">
        <v>7.3470000000000004</v>
      </c>
      <c r="H289" s="85"/>
      <c r="I289" s="86">
        <v>54925.38</v>
      </c>
      <c r="J289" s="185">
        <f t="shared" si="42"/>
        <v>8512.0499999999993</v>
      </c>
      <c r="K289" s="189">
        <f t="shared" si="43"/>
        <v>62538.03</v>
      </c>
      <c r="L289" s="189"/>
      <c r="M289" s="138"/>
      <c r="N289" s="138"/>
      <c r="O289" s="138"/>
      <c r="S289" s="72"/>
      <c r="T289" s="72"/>
      <c r="U289" s="72"/>
      <c r="V289" s="72"/>
    </row>
    <row r="290" spans="1:22" s="63" customFormat="1" ht="15" x14ac:dyDescent="0.25">
      <c r="A290" s="80">
        <v>2.8</v>
      </c>
      <c r="B290" s="81" t="s">
        <v>40</v>
      </c>
      <c r="C290" s="82">
        <v>9</v>
      </c>
      <c r="D290" s="131" t="s">
        <v>387</v>
      </c>
      <c r="E290" s="83" t="s">
        <v>388</v>
      </c>
      <c r="F290" s="81" t="s">
        <v>226</v>
      </c>
      <c r="G290" s="90">
        <v>0.66267600000000004</v>
      </c>
      <c r="H290" s="85"/>
      <c r="I290" s="86">
        <v>10098.89</v>
      </c>
      <c r="J290" s="185">
        <f t="shared" si="42"/>
        <v>17351.759999999998</v>
      </c>
      <c r="K290" s="189">
        <f t="shared" si="43"/>
        <v>11498.59</v>
      </c>
      <c r="L290" s="189"/>
      <c r="M290" s="138"/>
      <c r="N290" s="138"/>
      <c r="O290" s="138"/>
      <c r="S290" s="72"/>
      <c r="T290" s="72"/>
      <c r="U290" s="72"/>
      <c r="V290" s="72"/>
    </row>
    <row r="291" spans="1:22" s="63" customFormat="1" ht="22.5" x14ac:dyDescent="0.25">
      <c r="A291" s="80">
        <v>2.9</v>
      </c>
      <c r="B291" s="81" t="s">
        <v>40</v>
      </c>
      <c r="C291" s="80">
        <v>9.1</v>
      </c>
      <c r="D291" s="131" t="s">
        <v>389</v>
      </c>
      <c r="E291" s="83" t="s">
        <v>390</v>
      </c>
      <c r="F291" s="81" t="s">
        <v>370</v>
      </c>
      <c r="G291" s="87">
        <v>360.15</v>
      </c>
      <c r="H291" s="85"/>
      <c r="I291" s="86">
        <v>44965.74</v>
      </c>
      <c r="J291" s="185">
        <f t="shared" si="42"/>
        <v>142.16</v>
      </c>
      <c r="K291" s="189">
        <f t="shared" si="43"/>
        <v>51198.92</v>
      </c>
      <c r="L291" s="189"/>
      <c r="M291" s="138"/>
      <c r="N291" s="138"/>
      <c r="O291" s="138"/>
      <c r="S291" s="72"/>
      <c r="T291" s="72"/>
      <c r="U291" s="72"/>
      <c r="V291" s="72"/>
    </row>
    <row r="292" spans="1:22" s="63" customFormat="1" ht="33.75" x14ac:dyDescent="0.25">
      <c r="A292" s="87">
        <v>2.1</v>
      </c>
      <c r="B292" s="81" t="s">
        <v>40</v>
      </c>
      <c r="C292" s="82">
        <v>10</v>
      </c>
      <c r="D292" s="131" t="s">
        <v>391</v>
      </c>
      <c r="E292" s="83" t="s">
        <v>392</v>
      </c>
      <c r="F292" s="81" t="s">
        <v>207</v>
      </c>
      <c r="G292" s="84">
        <v>3.5880000000000001</v>
      </c>
      <c r="H292" s="85"/>
      <c r="I292" s="86">
        <v>763896.77</v>
      </c>
      <c r="J292" s="185">
        <f t="shared" si="42"/>
        <v>242411.61</v>
      </c>
      <c r="K292" s="189">
        <f t="shared" si="43"/>
        <v>869772.86</v>
      </c>
      <c r="L292" s="189"/>
      <c r="M292" s="138"/>
      <c r="N292" s="138"/>
      <c r="O292" s="138"/>
      <c r="S292" s="72"/>
      <c r="T292" s="72"/>
      <c r="U292" s="72"/>
      <c r="V292" s="72"/>
    </row>
    <row r="293" spans="1:22" s="63" customFormat="1" ht="33.75" x14ac:dyDescent="0.25">
      <c r="A293" s="87">
        <v>2.11</v>
      </c>
      <c r="B293" s="81" t="s">
        <v>40</v>
      </c>
      <c r="C293" s="82">
        <v>11</v>
      </c>
      <c r="D293" s="131" t="s">
        <v>391</v>
      </c>
      <c r="E293" s="83" t="s">
        <v>392</v>
      </c>
      <c r="F293" s="81" t="s">
        <v>207</v>
      </c>
      <c r="G293" s="88">
        <v>1.35E-2</v>
      </c>
      <c r="H293" s="85"/>
      <c r="I293" s="86">
        <v>2873.85</v>
      </c>
      <c r="J293" s="185">
        <f t="shared" si="42"/>
        <v>242382.64</v>
      </c>
      <c r="K293" s="189">
        <f t="shared" si="43"/>
        <v>3272.17</v>
      </c>
      <c r="L293" s="189"/>
      <c r="M293" s="138"/>
      <c r="N293" s="138"/>
      <c r="O293" s="138"/>
      <c r="S293" s="72"/>
      <c r="T293" s="72"/>
      <c r="U293" s="72"/>
      <c r="V293" s="72"/>
    </row>
    <row r="294" spans="1:22" s="63" customFormat="1" ht="22.5" x14ac:dyDescent="0.25">
      <c r="A294" s="87">
        <v>2.12</v>
      </c>
      <c r="B294" s="81" t="s">
        <v>40</v>
      </c>
      <c r="C294" s="80">
        <v>11.1</v>
      </c>
      <c r="D294" s="131" t="s">
        <v>393</v>
      </c>
      <c r="E294" s="83" t="s">
        <v>394</v>
      </c>
      <c r="F294" s="81" t="s">
        <v>370</v>
      </c>
      <c r="G294" s="84">
        <v>-1.377</v>
      </c>
      <c r="H294" s="85"/>
      <c r="I294" s="86">
        <v>-983.37</v>
      </c>
      <c r="J294" s="185">
        <f t="shared" si="42"/>
        <v>813.12</v>
      </c>
      <c r="K294" s="189">
        <f t="shared" si="43"/>
        <v>-1119.67</v>
      </c>
      <c r="L294" s="189"/>
      <c r="M294" s="138"/>
      <c r="N294" s="138"/>
      <c r="O294" s="138"/>
      <c r="S294" s="72"/>
      <c r="T294" s="72"/>
      <c r="U294" s="72"/>
      <c r="V294" s="72"/>
    </row>
    <row r="295" spans="1:22" s="63" customFormat="1" ht="15" x14ac:dyDescent="0.25">
      <c r="A295" s="87">
        <v>2.13</v>
      </c>
      <c r="B295" s="81" t="s">
        <v>40</v>
      </c>
      <c r="C295" s="80">
        <v>11.2</v>
      </c>
      <c r="D295" s="131" t="s">
        <v>395</v>
      </c>
      <c r="E295" s="83" t="s">
        <v>3429</v>
      </c>
      <c r="F295" s="81" t="s">
        <v>219</v>
      </c>
      <c r="G295" s="82">
        <v>15</v>
      </c>
      <c r="H295" s="85"/>
      <c r="I295" s="86">
        <v>2552.91</v>
      </c>
      <c r="J295" s="185">
        <f t="shared" si="42"/>
        <v>193.78</v>
      </c>
      <c r="K295" s="189">
        <f t="shared" si="43"/>
        <v>2906.7</v>
      </c>
      <c r="L295" s="189"/>
      <c r="M295" s="138"/>
      <c r="N295" s="138"/>
      <c r="O295" s="138"/>
      <c r="S295" s="72"/>
      <c r="T295" s="72"/>
      <c r="U295" s="72"/>
      <c r="V295" s="72"/>
    </row>
    <row r="296" spans="1:22" s="63" customFormat="1" ht="22.5" x14ac:dyDescent="0.25">
      <c r="A296" s="87">
        <v>2.14</v>
      </c>
      <c r="B296" s="81" t="s">
        <v>40</v>
      </c>
      <c r="C296" s="82">
        <v>12</v>
      </c>
      <c r="D296" s="131" t="s">
        <v>396</v>
      </c>
      <c r="E296" s="83" t="s">
        <v>397</v>
      </c>
      <c r="F296" s="81" t="s">
        <v>207</v>
      </c>
      <c r="G296" s="88">
        <v>2.7000000000000001E-3</v>
      </c>
      <c r="H296" s="85"/>
      <c r="I296" s="86">
        <v>47.55</v>
      </c>
      <c r="J296" s="185">
        <f t="shared" si="42"/>
        <v>20052.009999999998</v>
      </c>
      <c r="K296" s="189">
        <f t="shared" si="43"/>
        <v>54.14</v>
      </c>
      <c r="L296" s="189"/>
      <c r="M296" s="138"/>
      <c r="N296" s="138"/>
      <c r="O296" s="138"/>
      <c r="S296" s="72"/>
      <c r="T296" s="72"/>
      <c r="U296" s="72"/>
      <c r="V296" s="72"/>
    </row>
    <row r="297" spans="1:22" s="63" customFormat="1" ht="22.5" x14ac:dyDescent="0.25">
      <c r="A297" s="87">
        <v>2.15</v>
      </c>
      <c r="B297" s="81" t="s">
        <v>40</v>
      </c>
      <c r="C297" s="80">
        <v>12.1</v>
      </c>
      <c r="D297" s="131" t="s">
        <v>398</v>
      </c>
      <c r="E297" s="83" t="s">
        <v>3430</v>
      </c>
      <c r="F297" s="81" t="s">
        <v>334</v>
      </c>
      <c r="G297" s="80">
        <v>5.4</v>
      </c>
      <c r="H297" s="85"/>
      <c r="I297" s="86">
        <v>1091.3499999999999</v>
      </c>
      <c r="J297" s="185">
        <f t="shared" si="42"/>
        <v>230.11</v>
      </c>
      <c r="K297" s="189">
        <f t="shared" si="43"/>
        <v>1242.5899999999999</v>
      </c>
      <c r="L297" s="189"/>
      <c r="M297" s="138"/>
      <c r="N297" s="138"/>
      <c r="O297" s="138"/>
      <c r="S297" s="72"/>
      <c r="T297" s="72"/>
      <c r="U297" s="72"/>
      <c r="V297" s="72"/>
    </row>
    <row r="298" spans="1:22" s="128" customFormat="1" ht="12.75" x14ac:dyDescent="0.25">
      <c r="A298" s="237"/>
      <c r="B298" s="125"/>
      <c r="C298" s="236"/>
      <c r="D298" s="77"/>
      <c r="E298" s="126" t="s">
        <v>3238</v>
      </c>
      <c r="F298" s="125"/>
      <c r="G298" s="236"/>
      <c r="H298" s="127"/>
      <c r="I298" s="78"/>
      <c r="J298" s="238"/>
      <c r="K298" s="239"/>
      <c r="L298" s="239"/>
      <c r="M298" s="79"/>
      <c r="N298" s="79"/>
      <c r="O298" s="79"/>
      <c r="S298" s="129"/>
      <c r="T298" s="129"/>
      <c r="U298" s="129"/>
      <c r="V298" s="129"/>
    </row>
    <row r="299" spans="1:22" s="63" customFormat="1" ht="22.5" x14ac:dyDescent="0.25">
      <c r="A299" s="87">
        <v>2.16</v>
      </c>
      <c r="B299" s="81" t="s">
        <v>40</v>
      </c>
      <c r="C299" s="82">
        <v>13</v>
      </c>
      <c r="D299" s="131" t="s">
        <v>375</v>
      </c>
      <c r="E299" s="83" t="s">
        <v>376</v>
      </c>
      <c r="F299" s="81" t="s">
        <v>207</v>
      </c>
      <c r="G299" s="88">
        <v>5.4363000000000001</v>
      </c>
      <c r="H299" s="85"/>
      <c r="I299" s="86">
        <v>717520.42</v>
      </c>
      <c r="J299" s="185">
        <f t="shared" ref="J299:J320" si="44">ROUND($I299/$G299*$N$11,2)</f>
        <v>150280.29</v>
      </c>
      <c r="K299" s="189">
        <f t="shared" ref="K299:K320" si="45">ROUND(G299*J299,2)</f>
        <v>816968.74</v>
      </c>
      <c r="L299" s="189"/>
      <c r="M299" s="138"/>
      <c r="N299" s="138"/>
      <c r="O299" s="138"/>
      <c r="S299" s="72"/>
      <c r="T299" s="72"/>
      <c r="U299" s="72"/>
      <c r="V299" s="72"/>
    </row>
    <row r="300" spans="1:22" s="63" customFormat="1" ht="22.5" x14ac:dyDescent="0.25">
      <c r="A300" s="87">
        <v>2.17</v>
      </c>
      <c r="B300" s="81" t="s">
        <v>40</v>
      </c>
      <c r="C300" s="82">
        <v>14</v>
      </c>
      <c r="D300" s="131" t="s">
        <v>399</v>
      </c>
      <c r="E300" s="83" t="s">
        <v>3439</v>
      </c>
      <c r="F300" s="81" t="s">
        <v>207</v>
      </c>
      <c r="G300" s="88">
        <v>5.4363000000000001</v>
      </c>
      <c r="H300" s="85"/>
      <c r="I300" s="86">
        <v>336244.18</v>
      </c>
      <c r="J300" s="185">
        <f t="shared" si="44"/>
        <v>70424.3</v>
      </c>
      <c r="K300" s="189">
        <f t="shared" si="45"/>
        <v>382847.62</v>
      </c>
      <c r="L300" s="189"/>
      <c r="M300" s="138"/>
      <c r="N300" s="138"/>
      <c r="O300" s="138"/>
      <c r="S300" s="72"/>
      <c r="T300" s="72"/>
      <c r="U300" s="72"/>
      <c r="V300" s="72"/>
    </row>
    <row r="301" spans="1:22" s="63" customFormat="1" ht="15" x14ac:dyDescent="0.25">
      <c r="A301" s="87">
        <v>2.1800000000000002</v>
      </c>
      <c r="B301" s="81" t="s">
        <v>40</v>
      </c>
      <c r="C301" s="82">
        <v>15</v>
      </c>
      <c r="D301" s="131" t="s">
        <v>400</v>
      </c>
      <c r="E301" s="83" t="s">
        <v>3440</v>
      </c>
      <c r="F301" s="81" t="s">
        <v>207</v>
      </c>
      <c r="G301" s="88">
        <v>5.4363000000000001</v>
      </c>
      <c r="H301" s="85"/>
      <c r="I301" s="86">
        <v>402358.66</v>
      </c>
      <c r="J301" s="185">
        <f t="shared" si="44"/>
        <v>84271.58</v>
      </c>
      <c r="K301" s="189">
        <f t="shared" si="45"/>
        <v>458125.59</v>
      </c>
      <c r="L301" s="189"/>
      <c r="M301" s="138"/>
      <c r="N301" s="138"/>
      <c r="O301" s="138"/>
      <c r="S301" s="72"/>
      <c r="T301" s="72"/>
      <c r="U301" s="72"/>
      <c r="V301" s="72"/>
    </row>
    <row r="302" spans="1:22" s="63" customFormat="1" ht="22.5" x14ac:dyDescent="0.25">
      <c r="A302" s="87">
        <v>2.19</v>
      </c>
      <c r="B302" s="81" t="s">
        <v>40</v>
      </c>
      <c r="C302" s="80">
        <v>15.1</v>
      </c>
      <c r="D302" s="131" t="s">
        <v>402</v>
      </c>
      <c r="E302" s="83" t="s">
        <v>403</v>
      </c>
      <c r="F302" s="81" t="s">
        <v>226</v>
      </c>
      <c r="G302" s="90">
        <v>-0.43490400000000001</v>
      </c>
      <c r="H302" s="85"/>
      <c r="I302" s="86">
        <v>-23940.84</v>
      </c>
      <c r="J302" s="185">
        <f t="shared" si="44"/>
        <v>62678.29</v>
      </c>
      <c r="K302" s="189">
        <f t="shared" si="45"/>
        <v>-27259.040000000001</v>
      </c>
      <c r="L302" s="189"/>
      <c r="M302" s="138"/>
      <c r="N302" s="138"/>
      <c r="O302" s="138"/>
      <c r="S302" s="72"/>
      <c r="T302" s="72"/>
      <c r="U302" s="72"/>
      <c r="V302" s="72"/>
    </row>
    <row r="303" spans="1:22" s="63" customFormat="1" ht="22.5" x14ac:dyDescent="0.25">
      <c r="A303" s="87">
        <v>2.2000000000000002</v>
      </c>
      <c r="B303" s="81" t="s">
        <v>40</v>
      </c>
      <c r="C303" s="80">
        <v>15.2</v>
      </c>
      <c r="D303" s="131" t="s">
        <v>404</v>
      </c>
      <c r="E303" s="83" t="s">
        <v>405</v>
      </c>
      <c r="F303" s="81" t="s">
        <v>226</v>
      </c>
      <c r="G303" s="90">
        <v>-0.21745200000000001</v>
      </c>
      <c r="H303" s="85"/>
      <c r="I303" s="86">
        <v>-3229.57</v>
      </c>
      <c r="J303" s="185">
        <f t="shared" si="44"/>
        <v>16910.349999999999</v>
      </c>
      <c r="K303" s="189">
        <f t="shared" si="45"/>
        <v>-3677.19</v>
      </c>
      <c r="L303" s="189"/>
      <c r="M303" s="138"/>
      <c r="N303" s="138"/>
      <c r="O303" s="138"/>
      <c r="S303" s="72"/>
      <c r="T303" s="72"/>
      <c r="U303" s="72"/>
      <c r="V303" s="72"/>
    </row>
    <row r="304" spans="1:22" s="63" customFormat="1" ht="22.5" x14ac:dyDescent="0.25">
      <c r="A304" s="87">
        <v>2.21</v>
      </c>
      <c r="B304" s="81" t="s">
        <v>40</v>
      </c>
      <c r="C304" s="80">
        <v>15.3</v>
      </c>
      <c r="D304" s="131" t="s">
        <v>406</v>
      </c>
      <c r="E304" s="83" t="s">
        <v>3431</v>
      </c>
      <c r="F304" s="81" t="s">
        <v>210</v>
      </c>
      <c r="G304" s="84">
        <v>1304.712</v>
      </c>
      <c r="H304" s="85"/>
      <c r="I304" s="86">
        <v>464917.2</v>
      </c>
      <c r="J304" s="185">
        <f t="shared" si="44"/>
        <v>405.73</v>
      </c>
      <c r="K304" s="189">
        <f t="shared" si="45"/>
        <v>529360.80000000005</v>
      </c>
      <c r="L304" s="189"/>
      <c r="M304" s="138"/>
      <c r="N304" s="138"/>
      <c r="O304" s="138"/>
      <c r="S304" s="72"/>
      <c r="T304" s="72"/>
      <c r="U304" s="72"/>
      <c r="V304" s="72"/>
    </row>
    <row r="305" spans="1:22" s="63" customFormat="1" ht="15" x14ac:dyDescent="0.25">
      <c r="A305" s="87">
        <v>2.2200000000000002</v>
      </c>
      <c r="B305" s="81" t="s">
        <v>40</v>
      </c>
      <c r="C305" s="82">
        <v>16</v>
      </c>
      <c r="D305" s="131" t="s">
        <v>400</v>
      </c>
      <c r="E305" s="83" t="s">
        <v>3440</v>
      </c>
      <c r="F305" s="81" t="s">
        <v>207</v>
      </c>
      <c r="G305" s="88">
        <v>5.4363000000000001</v>
      </c>
      <c r="H305" s="85"/>
      <c r="I305" s="86">
        <v>402358.66</v>
      </c>
      <c r="J305" s="185">
        <f t="shared" si="44"/>
        <v>84271.58</v>
      </c>
      <c r="K305" s="189">
        <f t="shared" si="45"/>
        <v>458125.59</v>
      </c>
      <c r="L305" s="189"/>
      <c r="M305" s="138"/>
      <c r="N305" s="138"/>
      <c r="O305" s="138"/>
      <c r="S305" s="72"/>
      <c r="T305" s="72"/>
      <c r="U305" s="72"/>
      <c r="V305" s="72"/>
    </row>
    <row r="306" spans="1:22" s="63" customFormat="1" ht="22.5" x14ac:dyDescent="0.25">
      <c r="A306" s="87">
        <v>2.23</v>
      </c>
      <c r="B306" s="81" t="s">
        <v>40</v>
      </c>
      <c r="C306" s="80">
        <v>16.100000000000001</v>
      </c>
      <c r="D306" s="131" t="s">
        <v>402</v>
      </c>
      <c r="E306" s="83" t="s">
        <v>403</v>
      </c>
      <c r="F306" s="81" t="s">
        <v>226</v>
      </c>
      <c r="G306" s="90">
        <v>-0.43490400000000001</v>
      </c>
      <c r="H306" s="85"/>
      <c r="I306" s="86">
        <v>-23940.84</v>
      </c>
      <c r="J306" s="185">
        <f t="shared" si="44"/>
        <v>62678.29</v>
      </c>
      <c r="K306" s="189">
        <f t="shared" si="45"/>
        <v>-27259.040000000001</v>
      </c>
      <c r="L306" s="189"/>
      <c r="M306" s="138"/>
      <c r="N306" s="138"/>
      <c r="O306" s="138"/>
      <c r="S306" s="72"/>
      <c r="T306" s="72"/>
      <c r="U306" s="72"/>
      <c r="V306" s="72"/>
    </row>
    <row r="307" spans="1:22" s="63" customFormat="1" ht="22.5" x14ac:dyDescent="0.25">
      <c r="A307" s="87">
        <v>2.2400000000000002</v>
      </c>
      <c r="B307" s="81" t="s">
        <v>40</v>
      </c>
      <c r="C307" s="80">
        <v>16.2</v>
      </c>
      <c r="D307" s="131" t="s">
        <v>404</v>
      </c>
      <c r="E307" s="83" t="s">
        <v>405</v>
      </c>
      <c r="F307" s="81" t="s">
        <v>226</v>
      </c>
      <c r="G307" s="90">
        <v>-0.21745200000000001</v>
      </c>
      <c r="H307" s="85"/>
      <c r="I307" s="86">
        <v>-3229.57</v>
      </c>
      <c r="J307" s="185">
        <f t="shared" si="44"/>
        <v>16910.349999999999</v>
      </c>
      <c r="K307" s="189">
        <f t="shared" si="45"/>
        <v>-3677.19</v>
      </c>
      <c r="L307" s="189"/>
      <c r="M307" s="138"/>
      <c r="N307" s="138"/>
      <c r="O307" s="138"/>
      <c r="S307" s="72"/>
      <c r="T307" s="72"/>
      <c r="U307" s="72"/>
      <c r="V307" s="72"/>
    </row>
    <row r="308" spans="1:22" s="63" customFormat="1" ht="22.5" x14ac:dyDescent="0.25">
      <c r="A308" s="87">
        <v>2.25</v>
      </c>
      <c r="B308" s="81" t="s">
        <v>40</v>
      </c>
      <c r="C308" s="80">
        <v>16.3</v>
      </c>
      <c r="D308" s="131" t="s">
        <v>407</v>
      </c>
      <c r="E308" s="83" t="s">
        <v>3432</v>
      </c>
      <c r="F308" s="81" t="s">
        <v>213</v>
      </c>
      <c r="G308" s="84">
        <v>1195.9860000000001</v>
      </c>
      <c r="H308" s="85"/>
      <c r="I308" s="86">
        <v>522851.56</v>
      </c>
      <c r="J308" s="185">
        <f t="shared" si="44"/>
        <v>497.76</v>
      </c>
      <c r="K308" s="189">
        <f t="shared" si="45"/>
        <v>595313.99</v>
      </c>
      <c r="L308" s="189"/>
      <c r="M308" s="138"/>
      <c r="N308" s="138"/>
      <c r="O308" s="138"/>
      <c r="S308" s="72"/>
      <c r="T308" s="72"/>
      <c r="U308" s="72"/>
      <c r="V308" s="72"/>
    </row>
    <row r="309" spans="1:22" s="63" customFormat="1" ht="15" x14ac:dyDescent="0.25">
      <c r="A309" s="87">
        <v>2.2599999999999998</v>
      </c>
      <c r="B309" s="81" t="s">
        <v>40</v>
      </c>
      <c r="C309" s="82">
        <v>17</v>
      </c>
      <c r="D309" s="131" t="s">
        <v>408</v>
      </c>
      <c r="E309" s="83" t="s">
        <v>409</v>
      </c>
      <c r="F309" s="81" t="s">
        <v>207</v>
      </c>
      <c r="G309" s="88">
        <v>5.4363000000000001</v>
      </c>
      <c r="H309" s="85"/>
      <c r="I309" s="86">
        <v>60080.17</v>
      </c>
      <c r="J309" s="185">
        <f t="shared" si="44"/>
        <v>12583.43</v>
      </c>
      <c r="K309" s="189">
        <f t="shared" si="45"/>
        <v>68407.3</v>
      </c>
      <c r="L309" s="189"/>
      <c r="M309" s="138"/>
      <c r="N309" s="138"/>
      <c r="O309" s="138"/>
      <c r="S309" s="72"/>
      <c r="T309" s="72"/>
      <c r="U309" s="72"/>
      <c r="V309" s="72"/>
    </row>
    <row r="310" spans="1:22" s="63" customFormat="1" ht="22.5" x14ac:dyDescent="0.25">
      <c r="A310" s="87">
        <v>2.27</v>
      </c>
      <c r="B310" s="81" t="s">
        <v>40</v>
      </c>
      <c r="C310" s="80">
        <v>17.100000000000001</v>
      </c>
      <c r="D310" s="131" t="s">
        <v>410</v>
      </c>
      <c r="E310" s="83" t="s">
        <v>411</v>
      </c>
      <c r="F310" s="81" t="s">
        <v>370</v>
      </c>
      <c r="G310" s="89">
        <v>-665.40311999999994</v>
      </c>
      <c r="H310" s="85"/>
      <c r="I310" s="86">
        <v>-41420.58</v>
      </c>
      <c r="J310" s="185">
        <f t="shared" si="44"/>
        <v>70.88</v>
      </c>
      <c r="K310" s="189">
        <f t="shared" si="45"/>
        <v>-47163.77</v>
      </c>
      <c r="L310" s="189"/>
      <c r="M310" s="138"/>
      <c r="N310" s="138"/>
      <c r="O310" s="138"/>
      <c r="S310" s="72"/>
      <c r="T310" s="72"/>
      <c r="U310" s="72"/>
      <c r="V310" s="72"/>
    </row>
    <row r="311" spans="1:22" s="63" customFormat="1" ht="22.5" x14ac:dyDescent="0.25">
      <c r="A311" s="87">
        <v>2.2799999999999998</v>
      </c>
      <c r="B311" s="81" t="s">
        <v>40</v>
      </c>
      <c r="C311" s="80">
        <v>17.2</v>
      </c>
      <c r="D311" s="131" t="s">
        <v>412</v>
      </c>
      <c r="E311" s="83" t="s">
        <v>413</v>
      </c>
      <c r="F311" s="81" t="s">
        <v>370</v>
      </c>
      <c r="G311" s="89">
        <v>665.40311999999994</v>
      </c>
      <c r="H311" s="85"/>
      <c r="I311" s="86">
        <v>155046.39999999999</v>
      </c>
      <c r="J311" s="185">
        <f t="shared" si="44"/>
        <v>265.31</v>
      </c>
      <c r="K311" s="189">
        <f t="shared" si="45"/>
        <v>176538.1</v>
      </c>
      <c r="L311" s="189"/>
      <c r="M311" s="138"/>
      <c r="N311" s="138"/>
      <c r="O311" s="138"/>
      <c r="S311" s="72"/>
      <c r="T311" s="72"/>
      <c r="U311" s="72"/>
      <c r="V311" s="72"/>
    </row>
    <row r="312" spans="1:22" s="63" customFormat="1" ht="15" x14ac:dyDescent="0.25">
      <c r="A312" s="87">
        <v>2.29</v>
      </c>
      <c r="B312" s="81" t="s">
        <v>40</v>
      </c>
      <c r="C312" s="82">
        <v>18</v>
      </c>
      <c r="D312" s="131" t="s">
        <v>381</v>
      </c>
      <c r="E312" s="83" t="s">
        <v>382</v>
      </c>
      <c r="F312" s="81" t="s">
        <v>207</v>
      </c>
      <c r="G312" s="88">
        <v>5.4363000000000001</v>
      </c>
      <c r="H312" s="85"/>
      <c r="I312" s="86">
        <v>207189.57</v>
      </c>
      <c r="J312" s="185">
        <f t="shared" si="44"/>
        <v>43394.6</v>
      </c>
      <c r="K312" s="189">
        <f t="shared" si="45"/>
        <v>235906.06</v>
      </c>
      <c r="L312" s="189"/>
      <c r="M312" s="138"/>
      <c r="N312" s="138"/>
      <c r="O312" s="138"/>
      <c r="S312" s="72"/>
      <c r="T312" s="72"/>
      <c r="U312" s="72"/>
      <c r="V312" s="72"/>
    </row>
    <row r="313" spans="1:22" s="63" customFormat="1" ht="22.5" x14ac:dyDescent="0.25">
      <c r="A313" s="87">
        <v>2.2999999999999998</v>
      </c>
      <c r="B313" s="81" t="s">
        <v>40</v>
      </c>
      <c r="C313" s="80">
        <v>18.100000000000001</v>
      </c>
      <c r="D313" s="131" t="s">
        <v>383</v>
      </c>
      <c r="E313" s="83" t="s">
        <v>384</v>
      </c>
      <c r="F313" s="81" t="s">
        <v>205</v>
      </c>
      <c r="G313" s="87">
        <v>11.09</v>
      </c>
      <c r="H313" s="85"/>
      <c r="I313" s="86">
        <v>82907.679999999993</v>
      </c>
      <c r="J313" s="185">
        <f t="shared" si="44"/>
        <v>8512.0499999999993</v>
      </c>
      <c r="K313" s="189">
        <f t="shared" si="45"/>
        <v>94398.63</v>
      </c>
      <c r="L313" s="189"/>
      <c r="M313" s="138"/>
      <c r="N313" s="138"/>
      <c r="O313" s="138"/>
      <c r="S313" s="72"/>
      <c r="T313" s="72"/>
      <c r="U313" s="72"/>
      <c r="V313" s="72"/>
    </row>
    <row r="314" spans="1:22" s="63" customFormat="1" ht="22.5" x14ac:dyDescent="0.25">
      <c r="A314" s="87">
        <v>2.31</v>
      </c>
      <c r="B314" s="81" t="s">
        <v>40</v>
      </c>
      <c r="C314" s="82">
        <v>19</v>
      </c>
      <c r="D314" s="131" t="s">
        <v>385</v>
      </c>
      <c r="E314" s="83" t="s">
        <v>3441</v>
      </c>
      <c r="F314" s="81" t="s">
        <v>207</v>
      </c>
      <c r="G314" s="88">
        <v>5.4363000000000001</v>
      </c>
      <c r="H314" s="85"/>
      <c r="I314" s="86">
        <v>33495.370000000003</v>
      </c>
      <c r="J314" s="185">
        <f t="shared" si="44"/>
        <v>7015.4</v>
      </c>
      <c r="K314" s="189">
        <f t="shared" si="45"/>
        <v>38137.82</v>
      </c>
      <c r="L314" s="189"/>
      <c r="M314" s="138"/>
      <c r="N314" s="138"/>
      <c r="O314" s="138"/>
      <c r="S314" s="72"/>
      <c r="T314" s="72"/>
      <c r="U314" s="72"/>
      <c r="V314" s="72"/>
    </row>
    <row r="315" spans="1:22" s="63" customFormat="1" ht="22.5" x14ac:dyDescent="0.25">
      <c r="A315" s="87">
        <v>2.3199999999999998</v>
      </c>
      <c r="B315" s="81" t="s">
        <v>40</v>
      </c>
      <c r="C315" s="80">
        <v>19.100000000000001</v>
      </c>
      <c r="D315" s="131" t="s">
        <v>383</v>
      </c>
      <c r="E315" s="83" t="s">
        <v>384</v>
      </c>
      <c r="F315" s="81" t="s">
        <v>205</v>
      </c>
      <c r="G315" s="87">
        <v>22.18</v>
      </c>
      <c r="H315" s="85"/>
      <c r="I315" s="86">
        <v>165815.35</v>
      </c>
      <c r="J315" s="185">
        <f t="shared" si="44"/>
        <v>8512.0499999999993</v>
      </c>
      <c r="K315" s="189">
        <f t="shared" si="45"/>
        <v>188797.27</v>
      </c>
      <c r="L315" s="189"/>
      <c r="M315" s="138"/>
      <c r="N315" s="138"/>
      <c r="O315" s="138"/>
      <c r="S315" s="72"/>
      <c r="T315" s="72"/>
      <c r="U315" s="72"/>
      <c r="V315" s="72"/>
    </row>
    <row r="316" spans="1:22" s="63" customFormat="1" ht="15" x14ac:dyDescent="0.25">
      <c r="A316" s="87">
        <v>2.33</v>
      </c>
      <c r="B316" s="81" t="s">
        <v>40</v>
      </c>
      <c r="C316" s="82">
        <v>20</v>
      </c>
      <c r="D316" s="131" t="s">
        <v>387</v>
      </c>
      <c r="E316" s="83" t="s">
        <v>388</v>
      </c>
      <c r="F316" s="81" t="s">
        <v>226</v>
      </c>
      <c r="G316" s="90">
        <v>1.0002789999999999</v>
      </c>
      <c r="H316" s="85"/>
      <c r="I316" s="86">
        <v>15244.66</v>
      </c>
      <c r="J316" s="185">
        <f t="shared" si="44"/>
        <v>17352.73</v>
      </c>
      <c r="K316" s="189">
        <f t="shared" si="45"/>
        <v>17357.57</v>
      </c>
      <c r="L316" s="189"/>
      <c r="M316" s="138"/>
      <c r="N316" s="138"/>
      <c r="O316" s="138"/>
      <c r="S316" s="72"/>
      <c r="T316" s="72"/>
      <c r="U316" s="72"/>
      <c r="V316" s="72"/>
    </row>
    <row r="317" spans="1:22" s="63" customFormat="1" ht="22.5" x14ac:dyDescent="0.25">
      <c r="A317" s="87">
        <v>2.34</v>
      </c>
      <c r="B317" s="81" t="s">
        <v>40</v>
      </c>
      <c r="C317" s="80">
        <v>20.100000000000001</v>
      </c>
      <c r="D317" s="131" t="s">
        <v>389</v>
      </c>
      <c r="E317" s="83" t="s">
        <v>390</v>
      </c>
      <c r="F317" s="81" t="s">
        <v>370</v>
      </c>
      <c r="G317" s="87">
        <v>543.63</v>
      </c>
      <c r="H317" s="85"/>
      <c r="I317" s="86">
        <v>67873.75</v>
      </c>
      <c r="J317" s="185">
        <f t="shared" si="44"/>
        <v>142.16</v>
      </c>
      <c r="K317" s="189">
        <f t="shared" si="45"/>
        <v>77282.44</v>
      </c>
      <c r="L317" s="189"/>
      <c r="M317" s="138"/>
      <c r="N317" s="138"/>
      <c r="O317" s="138"/>
      <c r="S317" s="72"/>
      <c r="T317" s="72"/>
      <c r="U317" s="72"/>
      <c r="V317" s="72"/>
    </row>
    <row r="318" spans="1:22" s="63" customFormat="1" ht="15" x14ac:dyDescent="0.25">
      <c r="A318" s="87">
        <v>2.35</v>
      </c>
      <c r="B318" s="81" t="s">
        <v>40</v>
      </c>
      <c r="C318" s="82">
        <v>21</v>
      </c>
      <c r="D318" s="131" t="s">
        <v>414</v>
      </c>
      <c r="E318" s="83" t="s">
        <v>415</v>
      </c>
      <c r="F318" s="81" t="s">
        <v>207</v>
      </c>
      <c r="G318" s="88">
        <v>5.4363000000000001</v>
      </c>
      <c r="H318" s="85"/>
      <c r="I318" s="86">
        <v>229281.01</v>
      </c>
      <c r="J318" s="185">
        <f t="shared" si="44"/>
        <v>48021.51</v>
      </c>
      <c r="K318" s="189">
        <f t="shared" si="45"/>
        <v>261059.33</v>
      </c>
      <c r="L318" s="189"/>
      <c r="M318" s="138"/>
      <c r="N318" s="138"/>
      <c r="O318" s="138"/>
      <c r="S318" s="72"/>
      <c r="T318" s="72"/>
      <c r="U318" s="72"/>
      <c r="V318" s="72"/>
    </row>
    <row r="319" spans="1:22" s="63" customFormat="1" ht="33.75" x14ac:dyDescent="0.25">
      <c r="A319" s="87">
        <v>2.36</v>
      </c>
      <c r="B319" s="81" t="s">
        <v>40</v>
      </c>
      <c r="C319" s="80">
        <v>21.1</v>
      </c>
      <c r="D319" s="131" t="s">
        <v>416</v>
      </c>
      <c r="E319" s="83" t="s">
        <v>417</v>
      </c>
      <c r="F319" s="81" t="s">
        <v>370</v>
      </c>
      <c r="G319" s="80">
        <v>554.5</v>
      </c>
      <c r="H319" s="85"/>
      <c r="I319" s="86">
        <v>1476941.85</v>
      </c>
      <c r="J319" s="185">
        <f t="shared" si="44"/>
        <v>3032.72</v>
      </c>
      <c r="K319" s="189">
        <f t="shared" si="45"/>
        <v>1681643.24</v>
      </c>
      <c r="L319" s="189"/>
      <c r="M319" s="138"/>
      <c r="N319" s="138"/>
      <c r="O319" s="138"/>
      <c r="S319" s="72"/>
      <c r="T319" s="72"/>
      <c r="U319" s="72"/>
      <c r="V319" s="72"/>
    </row>
    <row r="320" spans="1:22" s="63" customFormat="1" ht="22.5" x14ac:dyDescent="0.25">
      <c r="A320" s="87">
        <v>2.37</v>
      </c>
      <c r="B320" s="81" t="s">
        <v>40</v>
      </c>
      <c r="C320" s="80">
        <v>21.2</v>
      </c>
      <c r="D320" s="131" t="s">
        <v>418</v>
      </c>
      <c r="E320" s="83" t="s">
        <v>419</v>
      </c>
      <c r="F320" s="81" t="s">
        <v>210</v>
      </c>
      <c r="G320" s="80">
        <v>271.8</v>
      </c>
      <c r="H320" s="85"/>
      <c r="I320" s="86">
        <v>61691.22</v>
      </c>
      <c r="J320" s="185">
        <f t="shared" si="44"/>
        <v>258.43</v>
      </c>
      <c r="K320" s="189">
        <f t="shared" si="45"/>
        <v>70241.27</v>
      </c>
      <c r="L320" s="189"/>
      <c r="M320" s="138"/>
      <c r="N320" s="138"/>
      <c r="O320" s="138"/>
      <c r="S320" s="72"/>
      <c r="T320" s="72"/>
      <c r="U320" s="72"/>
      <c r="V320" s="72"/>
    </row>
    <row r="321" spans="1:22" s="128" customFormat="1" ht="12.75" x14ac:dyDescent="0.25">
      <c r="A321" s="237"/>
      <c r="B321" s="125"/>
      <c r="C321" s="236"/>
      <c r="D321" s="77"/>
      <c r="E321" s="126" t="s">
        <v>3239</v>
      </c>
      <c r="F321" s="125"/>
      <c r="G321" s="236"/>
      <c r="H321" s="127"/>
      <c r="I321" s="78"/>
      <c r="J321" s="238"/>
      <c r="K321" s="239"/>
      <c r="L321" s="239"/>
      <c r="M321" s="79"/>
      <c r="N321" s="79"/>
      <c r="O321" s="79"/>
      <c r="S321" s="129"/>
      <c r="T321" s="129"/>
      <c r="U321" s="129"/>
      <c r="V321" s="129"/>
    </row>
    <row r="322" spans="1:22" s="63" customFormat="1" ht="22.5" x14ac:dyDescent="0.25">
      <c r="A322" s="87">
        <v>2.38</v>
      </c>
      <c r="B322" s="81" t="s">
        <v>40</v>
      </c>
      <c r="C322" s="82">
        <v>22</v>
      </c>
      <c r="D322" s="131" t="s">
        <v>375</v>
      </c>
      <c r="E322" s="83" t="s">
        <v>376</v>
      </c>
      <c r="F322" s="81" t="s">
        <v>207</v>
      </c>
      <c r="G322" s="88">
        <v>2.1023999999999998</v>
      </c>
      <c r="H322" s="85"/>
      <c r="I322" s="86">
        <v>277490.58</v>
      </c>
      <c r="J322" s="185">
        <f t="shared" ref="J322:J333" si="46">ROUND($I322/$G322*$N$11,2)</f>
        <v>150281</v>
      </c>
      <c r="K322" s="189">
        <f t="shared" ref="K322:K333" si="47">ROUND(G322*J322,2)</f>
        <v>315950.77</v>
      </c>
      <c r="L322" s="189"/>
      <c r="M322" s="138"/>
      <c r="N322" s="138"/>
      <c r="O322" s="138"/>
      <c r="S322" s="72"/>
      <c r="T322" s="72"/>
      <c r="U322" s="72"/>
      <c r="V322" s="72"/>
    </row>
    <row r="323" spans="1:22" s="63" customFormat="1" ht="22.5" x14ac:dyDescent="0.25">
      <c r="A323" s="87">
        <v>2.39</v>
      </c>
      <c r="B323" s="81" t="s">
        <v>40</v>
      </c>
      <c r="C323" s="82">
        <v>23</v>
      </c>
      <c r="D323" s="131" t="s">
        <v>377</v>
      </c>
      <c r="E323" s="83" t="s">
        <v>378</v>
      </c>
      <c r="F323" s="81" t="s">
        <v>207</v>
      </c>
      <c r="G323" s="88">
        <v>2.1023999999999998</v>
      </c>
      <c r="H323" s="85"/>
      <c r="I323" s="86">
        <v>66529.960000000006</v>
      </c>
      <c r="J323" s="185">
        <f t="shared" si="46"/>
        <v>36030.730000000003</v>
      </c>
      <c r="K323" s="189">
        <f t="shared" si="47"/>
        <v>75751.009999999995</v>
      </c>
      <c r="L323" s="189"/>
      <c r="M323" s="138"/>
      <c r="N323" s="138"/>
      <c r="O323" s="138"/>
      <c r="S323" s="72"/>
      <c r="T323" s="72"/>
      <c r="U323" s="72"/>
      <c r="V323" s="72"/>
    </row>
    <row r="324" spans="1:22" s="63" customFormat="1" ht="22.5" x14ac:dyDescent="0.25">
      <c r="A324" s="87">
        <v>2.4</v>
      </c>
      <c r="B324" s="81" t="s">
        <v>40</v>
      </c>
      <c r="C324" s="80">
        <v>23.1</v>
      </c>
      <c r="D324" s="131" t="s">
        <v>379</v>
      </c>
      <c r="E324" s="83" t="s">
        <v>380</v>
      </c>
      <c r="F324" s="81" t="s">
        <v>205</v>
      </c>
      <c r="G324" s="84">
        <v>5.2560000000000002</v>
      </c>
      <c r="H324" s="85"/>
      <c r="I324" s="86">
        <v>42482.99</v>
      </c>
      <c r="J324" s="185">
        <f t="shared" si="46"/>
        <v>9203.0300000000007</v>
      </c>
      <c r="K324" s="189">
        <f t="shared" si="47"/>
        <v>48371.13</v>
      </c>
      <c r="L324" s="189"/>
      <c r="M324" s="138"/>
      <c r="N324" s="138"/>
      <c r="O324" s="138"/>
      <c r="S324" s="72"/>
      <c r="T324" s="72"/>
      <c r="U324" s="72"/>
      <c r="V324" s="72"/>
    </row>
    <row r="325" spans="1:22" s="63" customFormat="1" ht="15" x14ac:dyDescent="0.25">
      <c r="A325" s="87">
        <v>2.41</v>
      </c>
      <c r="B325" s="81" t="s">
        <v>40</v>
      </c>
      <c r="C325" s="82">
        <v>24</v>
      </c>
      <c r="D325" s="131" t="s">
        <v>381</v>
      </c>
      <c r="E325" s="83" t="s">
        <v>382</v>
      </c>
      <c r="F325" s="81" t="s">
        <v>207</v>
      </c>
      <c r="G325" s="88">
        <v>2.1023999999999998</v>
      </c>
      <c r="H325" s="85"/>
      <c r="I325" s="86">
        <v>80127.89</v>
      </c>
      <c r="J325" s="185">
        <f t="shared" si="46"/>
        <v>43394.98</v>
      </c>
      <c r="K325" s="189">
        <f t="shared" si="47"/>
        <v>91233.61</v>
      </c>
      <c r="L325" s="189"/>
      <c r="M325" s="138"/>
      <c r="N325" s="138"/>
      <c r="O325" s="138"/>
      <c r="S325" s="72"/>
      <c r="T325" s="72"/>
      <c r="U325" s="72"/>
      <c r="V325" s="72"/>
    </row>
    <row r="326" spans="1:22" s="63" customFormat="1" ht="22.5" x14ac:dyDescent="0.25">
      <c r="A326" s="87">
        <v>2.42</v>
      </c>
      <c r="B326" s="81" t="s">
        <v>40</v>
      </c>
      <c r="C326" s="80">
        <v>24.1</v>
      </c>
      <c r="D326" s="131" t="s">
        <v>383</v>
      </c>
      <c r="E326" s="83" t="s">
        <v>384</v>
      </c>
      <c r="F326" s="81" t="s">
        <v>205</v>
      </c>
      <c r="G326" s="84">
        <v>4.2889999999999997</v>
      </c>
      <c r="H326" s="85"/>
      <c r="I326" s="86">
        <v>32064.080000000002</v>
      </c>
      <c r="J326" s="185">
        <f t="shared" si="46"/>
        <v>8512.0499999999993</v>
      </c>
      <c r="K326" s="189">
        <f t="shared" si="47"/>
        <v>36508.18</v>
      </c>
      <c r="L326" s="189"/>
      <c r="M326" s="138"/>
      <c r="N326" s="138"/>
      <c r="O326" s="138"/>
      <c r="S326" s="72"/>
      <c r="T326" s="72"/>
      <c r="U326" s="72"/>
      <c r="V326" s="72"/>
    </row>
    <row r="327" spans="1:22" s="63" customFormat="1" ht="22.5" x14ac:dyDescent="0.25">
      <c r="A327" s="87">
        <v>2.4300000000000002</v>
      </c>
      <c r="B327" s="81" t="s">
        <v>40</v>
      </c>
      <c r="C327" s="82">
        <v>25</v>
      </c>
      <c r="D327" s="131" t="s">
        <v>385</v>
      </c>
      <c r="E327" s="83" t="s">
        <v>3442</v>
      </c>
      <c r="F327" s="81" t="s">
        <v>207</v>
      </c>
      <c r="G327" s="88">
        <v>2.1023999999999998</v>
      </c>
      <c r="H327" s="85"/>
      <c r="I327" s="86">
        <v>6476.34</v>
      </c>
      <c r="J327" s="185">
        <f t="shared" si="46"/>
        <v>3507.4</v>
      </c>
      <c r="K327" s="189">
        <f t="shared" si="47"/>
        <v>7373.96</v>
      </c>
      <c r="L327" s="189"/>
      <c r="M327" s="138"/>
      <c r="N327" s="138"/>
      <c r="O327" s="138"/>
      <c r="S327" s="72"/>
      <c r="T327" s="72"/>
      <c r="U327" s="72"/>
      <c r="V327" s="72"/>
    </row>
    <row r="328" spans="1:22" s="63" customFormat="1" ht="22.5" x14ac:dyDescent="0.25">
      <c r="A328" s="87">
        <v>2.44</v>
      </c>
      <c r="B328" s="81" t="s">
        <v>40</v>
      </c>
      <c r="C328" s="80">
        <v>25.1</v>
      </c>
      <c r="D328" s="131" t="s">
        <v>383</v>
      </c>
      <c r="E328" s="83" t="s">
        <v>384</v>
      </c>
      <c r="F328" s="81" t="s">
        <v>205</v>
      </c>
      <c r="G328" s="84">
        <v>4.2889999999999997</v>
      </c>
      <c r="H328" s="85"/>
      <c r="I328" s="86">
        <v>32064.080000000002</v>
      </c>
      <c r="J328" s="185">
        <f t="shared" si="46"/>
        <v>8512.0499999999993</v>
      </c>
      <c r="K328" s="189">
        <f t="shared" si="47"/>
        <v>36508.18</v>
      </c>
      <c r="L328" s="189"/>
      <c r="M328" s="138"/>
      <c r="N328" s="138"/>
      <c r="O328" s="138"/>
      <c r="S328" s="72"/>
      <c r="T328" s="72"/>
      <c r="U328" s="72"/>
      <c r="V328" s="72"/>
    </row>
    <row r="329" spans="1:22" s="63" customFormat="1" ht="15" x14ac:dyDescent="0.25">
      <c r="A329" s="87">
        <v>2.4500000000000002</v>
      </c>
      <c r="B329" s="81" t="s">
        <v>40</v>
      </c>
      <c r="C329" s="82">
        <v>26</v>
      </c>
      <c r="D329" s="131" t="s">
        <v>387</v>
      </c>
      <c r="E329" s="83" t="s">
        <v>388</v>
      </c>
      <c r="F329" s="81" t="s">
        <v>226</v>
      </c>
      <c r="G329" s="90">
        <v>0.38684200000000002</v>
      </c>
      <c r="H329" s="85"/>
      <c r="I329" s="86">
        <v>5895.67</v>
      </c>
      <c r="J329" s="185">
        <f t="shared" si="46"/>
        <v>17352.849999999999</v>
      </c>
      <c r="K329" s="189">
        <f t="shared" si="47"/>
        <v>6712.81</v>
      </c>
      <c r="L329" s="189"/>
      <c r="M329" s="138"/>
      <c r="N329" s="138"/>
      <c r="O329" s="138"/>
      <c r="S329" s="72"/>
      <c r="T329" s="72"/>
      <c r="U329" s="72"/>
      <c r="V329" s="72"/>
    </row>
    <row r="330" spans="1:22" s="63" customFormat="1" ht="22.5" x14ac:dyDescent="0.25">
      <c r="A330" s="87">
        <v>2.46</v>
      </c>
      <c r="B330" s="81" t="s">
        <v>40</v>
      </c>
      <c r="C330" s="80">
        <v>26.1</v>
      </c>
      <c r="D330" s="131" t="s">
        <v>389</v>
      </c>
      <c r="E330" s="83" t="s">
        <v>390</v>
      </c>
      <c r="F330" s="81" t="s">
        <v>370</v>
      </c>
      <c r="G330" s="87">
        <v>210.24</v>
      </c>
      <c r="H330" s="85"/>
      <c r="I330" s="86">
        <v>26249.01</v>
      </c>
      <c r="J330" s="185">
        <f t="shared" si="46"/>
        <v>142.16</v>
      </c>
      <c r="K330" s="189">
        <f t="shared" si="47"/>
        <v>29887.72</v>
      </c>
      <c r="L330" s="189"/>
      <c r="M330" s="138"/>
      <c r="N330" s="138"/>
      <c r="O330" s="138"/>
      <c r="S330" s="72"/>
      <c r="T330" s="72"/>
      <c r="U330" s="72"/>
      <c r="V330" s="72"/>
    </row>
    <row r="331" spans="1:22" s="63" customFormat="1" ht="33.75" x14ac:dyDescent="0.25">
      <c r="A331" s="87">
        <v>2.4700000000000002</v>
      </c>
      <c r="B331" s="81" t="s">
        <v>40</v>
      </c>
      <c r="C331" s="82">
        <v>27</v>
      </c>
      <c r="D331" s="131" t="s">
        <v>206</v>
      </c>
      <c r="E331" s="83" t="s">
        <v>420</v>
      </c>
      <c r="F331" s="81" t="s">
        <v>207</v>
      </c>
      <c r="G331" s="88">
        <v>2.1023999999999998</v>
      </c>
      <c r="H331" s="85"/>
      <c r="I331" s="86">
        <v>38678.47</v>
      </c>
      <c r="J331" s="185">
        <f t="shared" si="46"/>
        <v>20947.16</v>
      </c>
      <c r="K331" s="189">
        <f t="shared" si="47"/>
        <v>44039.31</v>
      </c>
      <c r="L331" s="189"/>
      <c r="M331" s="138"/>
      <c r="N331" s="138"/>
      <c r="O331" s="138"/>
      <c r="S331" s="72"/>
      <c r="T331" s="72"/>
      <c r="U331" s="72"/>
      <c r="V331" s="72"/>
    </row>
    <row r="332" spans="1:22" s="63" customFormat="1" ht="22.5" x14ac:dyDescent="0.25">
      <c r="A332" s="87">
        <v>2.48</v>
      </c>
      <c r="B332" s="81" t="s">
        <v>40</v>
      </c>
      <c r="C332" s="80">
        <v>27.1</v>
      </c>
      <c r="D332" s="131" t="s">
        <v>421</v>
      </c>
      <c r="E332" s="83" t="s">
        <v>422</v>
      </c>
      <c r="F332" s="81" t="s">
        <v>210</v>
      </c>
      <c r="G332" s="87">
        <v>630.72</v>
      </c>
      <c r="H332" s="85"/>
      <c r="I332" s="86">
        <v>95213.49</v>
      </c>
      <c r="J332" s="185">
        <f t="shared" si="46"/>
        <v>171.88</v>
      </c>
      <c r="K332" s="189">
        <f t="shared" si="47"/>
        <v>108408.15</v>
      </c>
      <c r="L332" s="189"/>
      <c r="M332" s="138"/>
      <c r="N332" s="138"/>
      <c r="O332" s="138"/>
      <c r="S332" s="72"/>
      <c r="T332" s="72"/>
      <c r="U332" s="72"/>
      <c r="V332" s="72"/>
    </row>
    <row r="333" spans="1:22" s="63" customFormat="1" ht="33.75" x14ac:dyDescent="0.25">
      <c r="A333" s="87">
        <v>2.4900000000000002</v>
      </c>
      <c r="B333" s="81" t="s">
        <v>40</v>
      </c>
      <c r="C333" s="82">
        <v>28</v>
      </c>
      <c r="D333" s="131" t="s">
        <v>391</v>
      </c>
      <c r="E333" s="83" t="s">
        <v>392</v>
      </c>
      <c r="F333" s="81" t="s">
        <v>207</v>
      </c>
      <c r="G333" s="88">
        <v>2.1023999999999998</v>
      </c>
      <c r="H333" s="85"/>
      <c r="I333" s="86">
        <v>447607.23</v>
      </c>
      <c r="J333" s="185">
        <f t="shared" si="46"/>
        <v>242411.34</v>
      </c>
      <c r="K333" s="189">
        <f t="shared" si="47"/>
        <v>509645.6</v>
      </c>
      <c r="L333" s="189"/>
      <c r="M333" s="138"/>
      <c r="N333" s="138"/>
      <c r="O333" s="138"/>
      <c r="S333" s="72"/>
      <c r="T333" s="72"/>
      <c r="U333" s="72"/>
      <c r="V333" s="72"/>
    </row>
    <row r="334" spans="1:22" s="128" customFormat="1" ht="12.75" x14ac:dyDescent="0.25">
      <c r="A334" s="237"/>
      <c r="B334" s="125"/>
      <c r="C334" s="76"/>
      <c r="D334" s="77"/>
      <c r="E334" s="126" t="s">
        <v>3240</v>
      </c>
      <c r="F334" s="125"/>
      <c r="G334" s="240"/>
      <c r="H334" s="127"/>
      <c r="I334" s="78"/>
      <c r="J334" s="238"/>
      <c r="K334" s="239"/>
      <c r="L334" s="239"/>
      <c r="M334" s="79"/>
      <c r="N334" s="79"/>
      <c r="O334" s="79"/>
      <c r="S334" s="129"/>
      <c r="T334" s="129"/>
      <c r="U334" s="129"/>
      <c r="V334" s="129"/>
    </row>
    <row r="335" spans="1:22" s="63" customFormat="1" ht="22.5" x14ac:dyDescent="0.25">
      <c r="A335" s="87">
        <v>2.5</v>
      </c>
      <c r="B335" s="81" t="s">
        <v>40</v>
      </c>
      <c r="C335" s="82">
        <v>29</v>
      </c>
      <c r="D335" s="131" t="s">
        <v>375</v>
      </c>
      <c r="E335" s="83" t="s">
        <v>376</v>
      </c>
      <c r="F335" s="81" t="s">
        <v>207</v>
      </c>
      <c r="G335" s="88">
        <v>0.13150000000000001</v>
      </c>
      <c r="H335" s="85"/>
      <c r="I335" s="86">
        <v>17356.93</v>
      </c>
      <c r="J335" s="185">
        <f t="shared" ref="J335:J356" si="48">ROUND($I335/$G335*$N$11,2)</f>
        <v>150285.94</v>
      </c>
      <c r="K335" s="189">
        <f t="shared" ref="K335:K356" si="49">ROUND(G335*J335,2)</f>
        <v>19762.599999999999</v>
      </c>
      <c r="L335" s="189"/>
      <c r="M335" s="138"/>
      <c r="N335" s="138"/>
      <c r="O335" s="138"/>
      <c r="S335" s="72"/>
      <c r="T335" s="72"/>
      <c r="U335" s="72"/>
      <c r="V335" s="72"/>
    </row>
    <row r="336" spans="1:22" s="63" customFormat="1" ht="22.5" x14ac:dyDescent="0.25">
      <c r="A336" s="87">
        <v>2.5099999999999998</v>
      </c>
      <c r="B336" s="81" t="s">
        <v>40</v>
      </c>
      <c r="C336" s="82">
        <v>30</v>
      </c>
      <c r="D336" s="131" t="s">
        <v>399</v>
      </c>
      <c r="E336" s="83" t="s">
        <v>3439</v>
      </c>
      <c r="F336" s="81" t="s">
        <v>207</v>
      </c>
      <c r="G336" s="88">
        <v>0.13150000000000001</v>
      </c>
      <c r="H336" s="85"/>
      <c r="I336" s="86">
        <v>8134.01</v>
      </c>
      <c r="J336" s="185">
        <f t="shared" si="48"/>
        <v>70428.77</v>
      </c>
      <c r="K336" s="189">
        <f t="shared" si="49"/>
        <v>9261.3799999999992</v>
      </c>
      <c r="L336" s="189"/>
      <c r="M336" s="138"/>
      <c r="N336" s="138"/>
      <c r="O336" s="138"/>
      <c r="S336" s="72"/>
      <c r="T336" s="72"/>
      <c r="U336" s="72"/>
      <c r="V336" s="72"/>
    </row>
    <row r="337" spans="1:22" s="63" customFormat="1" ht="15" x14ac:dyDescent="0.25">
      <c r="A337" s="87">
        <v>2.52</v>
      </c>
      <c r="B337" s="81" t="s">
        <v>40</v>
      </c>
      <c r="C337" s="82">
        <v>31</v>
      </c>
      <c r="D337" s="131" t="s">
        <v>400</v>
      </c>
      <c r="E337" s="83" t="s">
        <v>3440</v>
      </c>
      <c r="F337" s="81" t="s">
        <v>207</v>
      </c>
      <c r="G337" s="88">
        <v>0.13150000000000001</v>
      </c>
      <c r="H337" s="85"/>
      <c r="I337" s="86">
        <v>9732.4</v>
      </c>
      <c r="J337" s="185">
        <f t="shared" si="48"/>
        <v>84268.52</v>
      </c>
      <c r="K337" s="189">
        <f t="shared" si="49"/>
        <v>11081.31</v>
      </c>
      <c r="L337" s="189"/>
      <c r="M337" s="138"/>
      <c r="N337" s="138"/>
      <c r="O337" s="138"/>
      <c r="S337" s="72"/>
      <c r="T337" s="72"/>
      <c r="U337" s="72"/>
      <c r="V337" s="72"/>
    </row>
    <row r="338" spans="1:22" s="63" customFormat="1" ht="22.5" x14ac:dyDescent="0.25">
      <c r="A338" s="87">
        <v>2.5299999999999998</v>
      </c>
      <c r="B338" s="81" t="s">
        <v>40</v>
      </c>
      <c r="C338" s="80">
        <v>31.1</v>
      </c>
      <c r="D338" s="131" t="s">
        <v>402</v>
      </c>
      <c r="E338" s="83" t="s">
        <v>403</v>
      </c>
      <c r="F338" s="81" t="s">
        <v>226</v>
      </c>
      <c r="G338" s="89">
        <v>-1.052E-2</v>
      </c>
      <c r="H338" s="85"/>
      <c r="I338" s="86">
        <v>-579.15</v>
      </c>
      <c r="J338" s="185">
        <f t="shared" si="48"/>
        <v>62682.53</v>
      </c>
      <c r="K338" s="189">
        <f t="shared" si="49"/>
        <v>-659.42</v>
      </c>
      <c r="L338" s="189"/>
      <c r="M338" s="138"/>
      <c r="N338" s="138"/>
      <c r="O338" s="138"/>
      <c r="S338" s="72"/>
      <c r="T338" s="72"/>
      <c r="U338" s="72"/>
      <c r="V338" s="72"/>
    </row>
    <row r="339" spans="1:22" s="63" customFormat="1" ht="22.5" x14ac:dyDescent="0.25">
      <c r="A339" s="87">
        <v>2.54</v>
      </c>
      <c r="B339" s="81" t="s">
        <v>40</v>
      </c>
      <c r="C339" s="80">
        <v>31.2</v>
      </c>
      <c r="D339" s="131" t="s">
        <v>404</v>
      </c>
      <c r="E339" s="83" t="s">
        <v>405</v>
      </c>
      <c r="F339" s="81" t="s">
        <v>226</v>
      </c>
      <c r="G339" s="89">
        <v>-5.2599999999999999E-3</v>
      </c>
      <c r="H339" s="85"/>
      <c r="I339" s="86">
        <v>-78.14</v>
      </c>
      <c r="J339" s="185">
        <f t="shared" si="48"/>
        <v>16914.490000000002</v>
      </c>
      <c r="K339" s="189">
        <f t="shared" si="49"/>
        <v>-88.97</v>
      </c>
      <c r="L339" s="189"/>
      <c r="M339" s="138"/>
      <c r="N339" s="138"/>
      <c r="O339" s="138"/>
      <c r="S339" s="72"/>
      <c r="T339" s="72"/>
      <c r="U339" s="72"/>
      <c r="V339" s="72"/>
    </row>
    <row r="340" spans="1:22" s="63" customFormat="1" ht="22.5" x14ac:dyDescent="0.25">
      <c r="A340" s="87">
        <v>2.5499999999999998</v>
      </c>
      <c r="B340" s="81" t="s">
        <v>40</v>
      </c>
      <c r="C340" s="80">
        <v>31.3</v>
      </c>
      <c r="D340" s="131" t="s">
        <v>406</v>
      </c>
      <c r="E340" s="83" t="s">
        <v>3443</v>
      </c>
      <c r="F340" s="81" t="s">
        <v>210</v>
      </c>
      <c r="G340" s="87">
        <v>31.56</v>
      </c>
      <c r="H340" s="85"/>
      <c r="I340" s="86">
        <v>11245.99</v>
      </c>
      <c r="J340" s="185">
        <f t="shared" si="48"/>
        <v>405.73</v>
      </c>
      <c r="K340" s="189">
        <f t="shared" si="49"/>
        <v>12804.84</v>
      </c>
      <c r="L340" s="189"/>
      <c r="M340" s="138"/>
      <c r="N340" s="138"/>
      <c r="O340" s="138"/>
      <c r="S340" s="72"/>
      <c r="T340" s="72"/>
      <c r="U340" s="72"/>
      <c r="V340" s="72"/>
    </row>
    <row r="341" spans="1:22" s="63" customFormat="1" ht="15" x14ac:dyDescent="0.25">
      <c r="A341" s="87">
        <v>2.56</v>
      </c>
      <c r="B341" s="81" t="s">
        <v>40</v>
      </c>
      <c r="C341" s="82">
        <v>32</v>
      </c>
      <c r="D341" s="131" t="s">
        <v>400</v>
      </c>
      <c r="E341" s="83" t="s">
        <v>401</v>
      </c>
      <c r="F341" s="81" t="s">
        <v>207</v>
      </c>
      <c r="G341" s="88">
        <v>0.13150000000000001</v>
      </c>
      <c r="H341" s="85"/>
      <c r="I341" s="86">
        <v>9732.4</v>
      </c>
      <c r="J341" s="185">
        <f t="shared" si="48"/>
        <v>84268.52</v>
      </c>
      <c r="K341" s="189">
        <f t="shared" si="49"/>
        <v>11081.31</v>
      </c>
      <c r="L341" s="189"/>
      <c r="M341" s="138"/>
      <c r="N341" s="138"/>
      <c r="O341" s="138"/>
      <c r="S341" s="72"/>
      <c r="T341" s="72"/>
      <c r="U341" s="72"/>
      <c r="V341" s="72"/>
    </row>
    <row r="342" spans="1:22" s="63" customFormat="1" ht="22.5" x14ac:dyDescent="0.25">
      <c r="A342" s="87">
        <v>2.57</v>
      </c>
      <c r="B342" s="81" t="s">
        <v>40</v>
      </c>
      <c r="C342" s="80">
        <v>32.1</v>
      </c>
      <c r="D342" s="131" t="s">
        <v>402</v>
      </c>
      <c r="E342" s="83" t="s">
        <v>403</v>
      </c>
      <c r="F342" s="81" t="s">
        <v>226</v>
      </c>
      <c r="G342" s="89">
        <v>-1.052E-2</v>
      </c>
      <c r="H342" s="85"/>
      <c r="I342" s="86">
        <v>-579.15</v>
      </c>
      <c r="J342" s="185">
        <f t="shared" si="48"/>
        <v>62682.53</v>
      </c>
      <c r="K342" s="189">
        <f t="shared" si="49"/>
        <v>-659.42</v>
      </c>
      <c r="L342" s="189"/>
      <c r="M342" s="138"/>
      <c r="N342" s="138"/>
      <c r="O342" s="138"/>
      <c r="S342" s="72"/>
      <c r="T342" s="72"/>
      <c r="U342" s="72"/>
      <c r="V342" s="72"/>
    </row>
    <row r="343" spans="1:22" s="63" customFormat="1" ht="22.5" x14ac:dyDescent="0.25">
      <c r="A343" s="87">
        <v>2.58</v>
      </c>
      <c r="B343" s="81" t="s">
        <v>40</v>
      </c>
      <c r="C343" s="80">
        <v>32.200000000000003</v>
      </c>
      <c r="D343" s="131" t="s">
        <v>404</v>
      </c>
      <c r="E343" s="83" t="s">
        <v>405</v>
      </c>
      <c r="F343" s="81" t="s">
        <v>226</v>
      </c>
      <c r="G343" s="89">
        <v>-5.2599999999999999E-3</v>
      </c>
      <c r="H343" s="85"/>
      <c r="I343" s="86">
        <v>-78.14</v>
      </c>
      <c r="J343" s="185">
        <f t="shared" si="48"/>
        <v>16914.490000000002</v>
      </c>
      <c r="K343" s="189">
        <f t="shared" si="49"/>
        <v>-88.97</v>
      </c>
      <c r="L343" s="189"/>
      <c r="M343" s="138"/>
      <c r="N343" s="138"/>
      <c r="O343" s="138"/>
      <c r="S343" s="72"/>
      <c r="T343" s="72"/>
      <c r="U343" s="72"/>
      <c r="V343" s="72"/>
    </row>
    <row r="344" spans="1:22" s="63" customFormat="1" ht="22.5" x14ac:dyDescent="0.25">
      <c r="A344" s="87">
        <v>2.59</v>
      </c>
      <c r="B344" s="81" t="s">
        <v>40</v>
      </c>
      <c r="C344" s="80">
        <v>32.299999999999997</v>
      </c>
      <c r="D344" s="131" t="s">
        <v>407</v>
      </c>
      <c r="E344" s="83" t="s">
        <v>3444</v>
      </c>
      <c r="F344" s="81" t="s">
        <v>213</v>
      </c>
      <c r="G344" s="87">
        <v>28.93</v>
      </c>
      <c r="H344" s="85"/>
      <c r="I344" s="86">
        <v>12647.43</v>
      </c>
      <c r="J344" s="185">
        <f t="shared" si="48"/>
        <v>497.77</v>
      </c>
      <c r="K344" s="189">
        <f t="shared" si="49"/>
        <v>14400.49</v>
      </c>
      <c r="L344" s="189"/>
      <c r="M344" s="138"/>
      <c r="N344" s="138"/>
      <c r="O344" s="138"/>
      <c r="S344" s="72"/>
      <c r="T344" s="72"/>
      <c r="U344" s="72"/>
      <c r="V344" s="72"/>
    </row>
    <row r="345" spans="1:22" s="63" customFormat="1" ht="15" x14ac:dyDescent="0.25">
      <c r="A345" s="87">
        <v>2.6</v>
      </c>
      <c r="B345" s="81" t="s">
        <v>40</v>
      </c>
      <c r="C345" s="82">
        <v>33</v>
      </c>
      <c r="D345" s="131" t="s">
        <v>408</v>
      </c>
      <c r="E345" s="83" t="s">
        <v>409</v>
      </c>
      <c r="F345" s="81" t="s">
        <v>207</v>
      </c>
      <c r="G345" s="88">
        <v>0.13150000000000001</v>
      </c>
      <c r="H345" s="85"/>
      <c r="I345" s="86">
        <v>1453.39</v>
      </c>
      <c r="J345" s="185">
        <f t="shared" si="48"/>
        <v>12584.26</v>
      </c>
      <c r="K345" s="189">
        <f t="shared" si="49"/>
        <v>1654.83</v>
      </c>
      <c r="L345" s="189"/>
      <c r="M345" s="138"/>
      <c r="N345" s="138"/>
      <c r="O345" s="138"/>
      <c r="S345" s="72"/>
      <c r="T345" s="72"/>
      <c r="U345" s="72"/>
      <c r="V345" s="72"/>
    </row>
    <row r="346" spans="1:22" s="63" customFormat="1" ht="22.5" x14ac:dyDescent="0.25">
      <c r="A346" s="87">
        <v>2.61</v>
      </c>
      <c r="B346" s="81" t="s">
        <v>40</v>
      </c>
      <c r="C346" s="80">
        <v>33.1</v>
      </c>
      <c r="D346" s="131" t="s">
        <v>410</v>
      </c>
      <c r="E346" s="83" t="s">
        <v>411</v>
      </c>
      <c r="F346" s="81" t="s">
        <v>370</v>
      </c>
      <c r="G346" s="88">
        <v>-16.095600000000001</v>
      </c>
      <c r="H346" s="85"/>
      <c r="I346" s="86">
        <v>-1001.93</v>
      </c>
      <c r="J346" s="185">
        <f t="shared" si="48"/>
        <v>70.88</v>
      </c>
      <c r="K346" s="189">
        <f t="shared" si="49"/>
        <v>-1140.8599999999999</v>
      </c>
      <c r="L346" s="189"/>
      <c r="M346" s="138"/>
      <c r="N346" s="138"/>
      <c r="O346" s="138"/>
      <c r="S346" s="72"/>
      <c r="T346" s="72"/>
      <c r="U346" s="72"/>
      <c r="V346" s="72"/>
    </row>
    <row r="347" spans="1:22" s="63" customFormat="1" ht="22.5" x14ac:dyDescent="0.25">
      <c r="A347" s="87">
        <v>2.62</v>
      </c>
      <c r="B347" s="81" t="s">
        <v>40</v>
      </c>
      <c r="C347" s="80">
        <v>33.200000000000003</v>
      </c>
      <c r="D347" s="131" t="s">
        <v>412</v>
      </c>
      <c r="E347" s="83" t="s">
        <v>413</v>
      </c>
      <c r="F347" s="81" t="s">
        <v>370</v>
      </c>
      <c r="G347" s="88">
        <v>16.095600000000001</v>
      </c>
      <c r="H347" s="85"/>
      <c r="I347" s="86">
        <v>3750.47</v>
      </c>
      <c r="J347" s="185">
        <f t="shared" si="48"/>
        <v>265.31</v>
      </c>
      <c r="K347" s="189">
        <f t="shared" si="49"/>
        <v>4270.32</v>
      </c>
      <c r="L347" s="189"/>
      <c r="M347" s="138"/>
      <c r="N347" s="138"/>
      <c r="O347" s="138"/>
      <c r="S347" s="72"/>
      <c r="T347" s="72"/>
      <c r="U347" s="72"/>
      <c r="V347" s="72"/>
    </row>
    <row r="348" spans="1:22" s="63" customFormat="1" ht="15" x14ac:dyDescent="0.25">
      <c r="A348" s="87">
        <v>2.63</v>
      </c>
      <c r="B348" s="81" t="s">
        <v>40</v>
      </c>
      <c r="C348" s="82">
        <v>34</v>
      </c>
      <c r="D348" s="131" t="s">
        <v>381</v>
      </c>
      <c r="E348" s="83" t="s">
        <v>382</v>
      </c>
      <c r="F348" s="81" t="s">
        <v>207</v>
      </c>
      <c r="G348" s="88">
        <v>0.13150000000000001</v>
      </c>
      <c r="H348" s="85"/>
      <c r="I348" s="86">
        <v>5012.37</v>
      </c>
      <c r="J348" s="185">
        <f t="shared" si="48"/>
        <v>43399.88</v>
      </c>
      <c r="K348" s="189">
        <f t="shared" si="49"/>
        <v>5707.08</v>
      </c>
      <c r="L348" s="189"/>
      <c r="M348" s="138"/>
      <c r="N348" s="138"/>
      <c r="O348" s="138"/>
      <c r="S348" s="72"/>
      <c r="T348" s="72"/>
      <c r="U348" s="72"/>
      <c r="V348" s="72"/>
    </row>
    <row r="349" spans="1:22" s="63" customFormat="1" ht="22.5" x14ac:dyDescent="0.25">
      <c r="A349" s="87">
        <v>2.64</v>
      </c>
      <c r="B349" s="81" t="s">
        <v>40</v>
      </c>
      <c r="C349" s="80">
        <v>34.1</v>
      </c>
      <c r="D349" s="131" t="s">
        <v>383</v>
      </c>
      <c r="E349" s="83" t="s">
        <v>384</v>
      </c>
      <c r="F349" s="81" t="s">
        <v>205</v>
      </c>
      <c r="G349" s="88">
        <v>0.26829999999999998</v>
      </c>
      <c r="H349" s="85"/>
      <c r="I349" s="86">
        <v>2005.81</v>
      </c>
      <c r="J349" s="185">
        <f t="shared" si="48"/>
        <v>8512.17</v>
      </c>
      <c r="K349" s="189">
        <f t="shared" si="49"/>
        <v>2283.8200000000002</v>
      </c>
      <c r="L349" s="189"/>
      <c r="M349" s="138"/>
      <c r="N349" s="138"/>
      <c r="O349" s="138"/>
      <c r="S349" s="72"/>
      <c r="T349" s="72"/>
      <c r="U349" s="72"/>
      <c r="V349" s="72"/>
    </row>
    <row r="350" spans="1:22" s="63" customFormat="1" ht="22.5" x14ac:dyDescent="0.25">
      <c r="A350" s="87">
        <v>2.65</v>
      </c>
      <c r="B350" s="81" t="s">
        <v>40</v>
      </c>
      <c r="C350" s="82">
        <v>35</v>
      </c>
      <c r="D350" s="131" t="s">
        <v>385</v>
      </c>
      <c r="E350" s="83" t="s">
        <v>3445</v>
      </c>
      <c r="F350" s="81" t="s">
        <v>207</v>
      </c>
      <c r="G350" s="88">
        <v>0.13150000000000001</v>
      </c>
      <c r="H350" s="85"/>
      <c r="I350" s="86">
        <v>809.71</v>
      </c>
      <c r="J350" s="185">
        <f t="shared" si="48"/>
        <v>7010.92</v>
      </c>
      <c r="K350" s="189">
        <f t="shared" si="49"/>
        <v>921.94</v>
      </c>
      <c r="L350" s="189"/>
      <c r="M350" s="138"/>
      <c r="N350" s="138"/>
      <c r="O350" s="138"/>
      <c r="S350" s="72"/>
      <c r="T350" s="72"/>
      <c r="U350" s="72"/>
      <c r="V350" s="72"/>
    </row>
    <row r="351" spans="1:22" s="63" customFormat="1" ht="22.5" x14ac:dyDescent="0.25">
      <c r="A351" s="87">
        <v>2.66</v>
      </c>
      <c r="B351" s="81" t="s">
        <v>40</v>
      </c>
      <c r="C351" s="80">
        <v>35.1</v>
      </c>
      <c r="D351" s="131" t="s">
        <v>383</v>
      </c>
      <c r="E351" s="83" t="s">
        <v>384</v>
      </c>
      <c r="F351" s="81" t="s">
        <v>205</v>
      </c>
      <c r="G351" s="88">
        <v>0.53649999999999998</v>
      </c>
      <c r="H351" s="85"/>
      <c r="I351" s="86">
        <v>4010.83</v>
      </c>
      <c r="J351" s="185">
        <f t="shared" si="48"/>
        <v>8512.08</v>
      </c>
      <c r="K351" s="189">
        <f t="shared" si="49"/>
        <v>4566.7299999999996</v>
      </c>
      <c r="L351" s="189"/>
      <c r="M351" s="138"/>
      <c r="N351" s="138"/>
      <c r="O351" s="138"/>
      <c r="S351" s="72"/>
      <c r="T351" s="72"/>
      <c r="U351" s="72"/>
      <c r="V351" s="72"/>
    </row>
    <row r="352" spans="1:22" s="63" customFormat="1" ht="15" x14ac:dyDescent="0.25">
      <c r="A352" s="87">
        <v>2.67</v>
      </c>
      <c r="B352" s="81" t="s">
        <v>40</v>
      </c>
      <c r="C352" s="82">
        <v>36</v>
      </c>
      <c r="D352" s="131" t="s">
        <v>387</v>
      </c>
      <c r="E352" s="83" t="s">
        <v>388</v>
      </c>
      <c r="F352" s="81" t="s">
        <v>226</v>
      </c>
      <c r="G352" s="90">
        <v>2.4195999999999999E-2</v>
      </c>
      <c r="H352" s="85"/>
      <c r="I352" s="86">
        <v>368.9</v>
      </c>
      <c r="J352" s="185">
        <f t="shared" si="48"/>
        <v>17359.46</v>
      </c>
      <c r="K352" s="189">
        <f t="shared" si="49"/>
        <v>420.03</v>
      </c>
      <c r="L352" s="189"/>
      <c r="M352" s="138"/>
      <c r="N352" s="138"/>
      <c r="O352" s="138"/>
      <c r="S352" s="72"/>
      <c r="T352" s="72"/>
      <c r="U352" s="72"/>
      <c r="V352" s="72"/>
    </row>
    <row r="353" spans="1:22" s="63" customFormat="1" ht="22.5" x14ac:dyDescent="0.25">
      <c r="A353" s="87">
        <v>2.68</v>
      </c>
      <c r="B353" s="81" t="s">
        <v>40</v>
      </c>
      <c r="C353" s="80">
        <v>36.1</v>
      </c>
      <c r="D353" s="131" t="s">
        <v>389</v>
      </c>
      <c r="E353" s="83" t="s">
        <v>390</v>
      </c>
      <c r="F353" s="81" t="s">
        <v>370</v>
      </c>
      <c r="G353" s="87">
        <v>13.15</v>
      </c>
      <c r="H353" s="85"/>
      <c r="I353" s="86">
        <v>1641.82</v>
      </c>
      <c r="J353" s="185">
        <f t="shared" si="48"/>
        <v>142.16</v>
      </c>
      <c r="K353" s="189">
        <f t="shared" si="49"/>
        <v>1869.4</v>
      </c>
      <c r="L353" s="189"/>
      <c r="M353" s="138"/>
      <c r="N353" s="138"/>
      <c r="O353" s="138"/>
      <c r="S353" s="72"/>
      <c r="T353" s="72"/>
      <c r="U353" s="72"/>
      <c r="V353" s="72"/>
    </row>
    <row r="354" spans="1:22" s="63" customFormat="1" ht="33.75" x14ac:dyDescent="0.25">
      <c r="A354" s="87">
        <v>2.69</v>
      </c>
      <c r="B354" s="81" t="s">
        <v>40</v>
      </c>
      <c r="C354" s="82">
        <v>37</v>
      </c>
      <c r="D354" s="131" t="s">
        <v>206</v>
      </c>
      <c r="E354" s="83" t="s">
        <v>420</v>
      </c>
      <c r="F354" s="81" t="s">
        <v>207</v>
      </c>
      <c r="G354" s="88">
        <v>0.13150000000000001</v>
      </c>
      <c r="H354" s="85"/>
      <c r="I354" s="86">
        <v>2419.64</v>
      </c>
      <c r="J354" s="185">
        <f t="shared" si="48"/>
        <v>20950.59</v>
      </c>
      <c r="K354" s="189">
        <f t="shared" si="49"/>
        <v>2755</v>
      </c>
      <c r="L354" s="189"/>
      <c r="M354" s="138"/>
      <c r="N354" s="138"/>
      <c r="O354" s="138"/>
      <c r="S354" s="72"/>
      <c r="T354" s="72"/>
      <c r="U354" s="72"/>
      <c r="V354" s="72"/>
    </row>
    <row r="355" spans="1:22" s="63" customFormat="1" ht="22.5" x14ac:dyDescent="0.25">
      <c r="A355" s="87">
        <v>2.7</v>
      </c>
      <c r="B355" s="81" t="s">
        <v>40</v>
      </c>
      <c r="C355" s="80">
        <v>37.1</v>
      </c>
      <c r="D355" s="131" t="s">
        <v>421</v>
      </c>
      <c r="E355" s="83" t="s">
        <v>422</v>
      </c>
      <c r="F355" s="81" t="s">
        <v>210</v>
      </c>
      <c r="G355" s="87">
        <v>39.450000000000003</v>
      </c>
      <c r="H355" s="85"/>
      <c r="I355" s="86">
        <v>5955.37</v>
      </c>
      <c r="J355" s="185">
        <f t="shared" si="48"/>
        <v>171.88</v>
      </c>
      <c r="K355" s="189">
        <f t="shared" si="49"/>
        <v>6780.67</v>
      </c>
      <c r="L355" s="189"/>
      <c r="M355" s="138"/>
      <c r="N355" s="138"/>
      <c r="O355" s="138"/>
      <c r="S355" s="72"/>
      <c r="T355" s="72"/>
      <c r="U355" s="72"/>
      <c r="V355" s="72"/>
    </row>
    <row r="356" spans="1:22" s="63" customFormat="1" ht="33.75" x14ac:dyDescent="0.25">
      <c r="A356" s="87">
        <v>2.71</v>
      </c>
      <c r="B356" s="81" t="s">
        <v>40</v>
      </c>
      <c r="C356" s="82">
        <v>38</v>
      </c>
      <c r="D356" s="131" t="s">
        <v>391</v>
      </c>
      <c r="E356" s="83" t="s">
        <v>392</v>
      </c>
      <c r="F356" s="81" t="s">
        <v>207</v>
      </c>
      <c r="G356" s="88">
        <v>0.13150000000000001</v>
      </c>
      <c r="H356" s="85"/>
      <c r="I356" s="86">
        <v>27997.15</v>
      </c>
      <c r="J356" s="185">
        <f t="shared" si="48"/>
        <v>242414.87</v>
      </c>
      <c r="K356" s="189">
        <f t="shared" si="49"/>
        <v>31877.56</v>
      </c>
      <c r="L356" s="189"/>
      <c r="M356" s="138"/>
      <c r="N356" s="138"/>
      <c r="O356" s="138"/>
      <c r="S356" s="72"/>
      <c r="T356" s="72"/>
      <c r="U356" s="72"/>
      <c r="V356" s="72"/>
    </row>
    <row r="357" spans="1:22" s="128" customFormat="1" ht="12.75" x14ac:dyDescent="0.25">
      <c r="A357" s="237"/>
      <c r="B357" s="125"/>
      <c r="C357" s="76"/>
      <c r="D357" s="77"/>
      <c r="E357" s="126" t="s">
        <v>3241</v>
      </c>
      <c r="F357" s="125"/>
      <c r="G357" s="240"/>
      <c r="H357" s="127"/>
      <c r="I357" s="78"/>
      <c r="J357" s="238"/>
      <c r="K357" s="239"/>
      <c r="L357" s="239"/>
      <c r="M357" s="79"/>
      <c r="N357" s="79"/>
      <c r="O357" s="79"/>
      <c r="S357" s="129"/>
      <c r="T357" s="129"/>
      <c r="U357" s="129"/>
      <c r="V357" s="129"/>
    </row>
    <row r="358" spans="1:22" s="63" customFormat="1" ht="22.5" x14ac:dyDescent="0.25">
      <c r="A358" s="87">
        <v>2.72</v>
      </c>
      <c r="B358" s="81" t="s">
        <v>40</v>
      </c>
      <c r="C358" s="82">
        <v>39</v>
      </c>
      <c r="D358" s="131" t="s">
        <v>375</v>
      </c>
      <c r="E358" s="83" t="s">
        <v>376</v>
      </c>
      <c r="F358" s="81" t="s">
        <v>207</v>
      </c>
      <c r="G358" s="84">
        <v>0.126</v>
      </c>
      <c r="H358" s="85"/>
      <c r="I358" s="86">
        <v>16630.52</v>
      </c>
      <c r="J358" s="185">
        <f t="shared" ref="J358:J369" si="50">ROUND($I358/$G358*$N$11,2)</f>
        <v>150281.82999999999</v>
      </c>
      <c r="K358" s="189">
        <f t="shared" ref="K358:K369" si="51">ROUND(G358*J358,2)</f>
        <v>18935.509999999998</v>
      </c>
      <c r="L358" s="189"/>
      <c r="M358" s="138"/>
      <c r="N358" s="138"/>
      <c r="O358" s="138"/>
      <c r="S358" s="72"/>
      <c r="T358" s="72"/>
      <c r="U358" s="72"/>
      <c r="V358" s="72"/>
    </row>
    <row r="359" spans="1:22" s="63" customFormat="1" ht="22.5" x14ac:dyDescent="0.25">
      <c r="A359" s="87">
        <v>2.73</v>
      </c>
      <c r="B359" s="81" t="s">
        <v>40</v>
      </c>
      <c r="C359" s="82">
        <v>40</v>
      </c>
      <c r="D359" s="131" t="s">
        <v>377</v>
      </c>
      <c r="E359" s="83" t="s">
        <v>378</v>
      </c>
      <c r="F359" s="81" t="s">
        <v>207</v>
      </c>
      <c r="G359" s="84">
        <v>0.126</v>
      </c>
      <c r="H359" s="85"/>
      <c r="I359" s="86">
        <v>3986.96</v>
      </c>
      <c r="J359" s="185">
        <f t="shared" si="50"/>
        <v>36028.199999999997</v>
      </c>
      <c r="K359" s="189">
        <f t="shared" si="51"/>
        <v>4539.55</v>
      </c>
      <c r="L359" s="189"/>
      <c r="M359" s="138"/>
      <c r="N359" s="138"/>
      <c r="O359" s="138"/>
      <c r="S359" s="72"/>
      <c r="T359" s="72"/>
      <c r="U359" s="72"/>
      <c r="V359" s="72"/>
    </row>
    <row r="360" spans="1:22" s="63" customFormat="1" ht="22.5" x14ac:dyDescent="0.25">
      <c r="A360" s="87">
        <v>2.74</v>
      </c>
      <c r="B360" s="81" t="s">
        <v>40</v>
      </c>
      <c r="C360" s="80">
        <v>40.1</v>
      </c>
      <c r="D360" s="131" t="s">
        <v>379</v>
      </c>
      <c r="E360" s="83" t="s">
        <v>380</v>
      </c>
      <c r="F360" s="81" t="s">
        <v>205</v>
      </c>
      <c r="G360" s="84">
        <v>0.315</v>
      </c>
      <c r="H360" s="85"/>
      <c r="I360" s="86">
        <v>2546.0700000000002</v>
      </c>
      <c r="J360" s="185">
        <f t="shared" si="50"/>
        <v>9203.0300000000007</v>
      </c>
      <c r="K360" s="189">
        <f t="shared" si="51"/>
        <v>2898.95</v>
      </c>
      <c r="L360" s="189"/>
      <c r="M360" s="138"/>
      <c r="N360" s="138"/>
      <c r="O360" s="138"/>
      <c r="S360" s="72"/>
      <c r="T360" s="72"/>
      <c r="U360" s="72"/>
      <c r="V360" s="72"/>
    </row>
    <row r="361" spans="1:22" s="63" customFormat="1" ht="15" x14ac:dyDescent="0.25">
      <c r="A361" s="87">
        <v>2.75</v>
      </c>
      <c r="B361" s="81" t="s">
        <v>40</v>
      </c>
      <c r="C361" s="82">
        <v>41</v>
      </c>
      <c r="D361" s="131" t="s">
        <v>381</v>
      </c>
      <c r="E361" s="83" t="s">
        <v>382</v>
      </c>
      <c r="F361" s="81" t="s">
        <v>207</v>
      </c>
      <c r="G361" s="84">
        <v>0.126</v>
      </c>
      <c r="H361" s="85"/>
      <c r="I361" s="86">
        <v>4803.04</v>
      </c>
      <c r="J361" s="185">
        <f t="shared" si="50"/>
        <v>43402.71</v>
      </c>
      <c r="K361" s="189">
        <f t="shared" si="51"/>
        <v>5468.74</v>
      </c>
      <c r="L361" s="189"/>
      <c r="M361" s="138"/>
      <c r="N361" s="138"/>
      <c r="O361" s="138"/>
      <c r="S361" s="72"/>
      <c r="T361" s="72"/>
      <c r="U361" s="72"/>
      <c r="V361" s="72"/>
    </row>
    <row r="362" spans="1:22" s="63" customFormat="1" ht="22.5" x14ac:dyDescent="0.25">
      <c r="A362" s="87">
        <v>2.76</v>
      </c>
      <c r="B362" s="81" t="s">
        <v>40</v>
      </c>
      <c r="C362" s="80">
        <v>41.1</v>
      </c>
      <c r="D362" s="131" t="s">
        <v>383</v>
      </c>
      <c r="E362" s="83" t="s">
        <v>384</v>
      </c>
      <c r="F362" s="81" t="s">
        <v>205</v>
      </c>
      <c r="G362" s="84">
        <v>0.25700000000000001</v>
      </c>
      <c r="H362" s="85"/>
      <c r="I362" s="86">
        <v>1921.28</v>
      </c>
      <c r="J362" s="185">
        <f t="shared" si="50"/>
        <v>8511.94</v>
      </c>
      <c r="K362" s="189">
        <f t="shared" si="51"/>
        <v>2187.5700000000002</v>
      </c>
      <c r="L362" s="189"/>
      <c r="M362" s="138"/>
      <c r="N362" s="138"/>
      <c r="O362" s="138"/>
      <c r="S362" s="72"/>
      <c r="T362" s="72"/>
      <c r="U362" s="72"/>
      <c r="V362" s="72"/>
    </row>
    <row r="363" spans="1:22" s="63" customFormat="1" ht="22.5" x14ac:dyDescent="0.25">
      <c r="A363" s="87">
        <v>2.77</v>
      </c>
      <c r="B363" s="81" t="s">
        <v>40</v>
      </c>
      <c r="C363" s="82">
        <v>42</v>
      </c>
      <c r="D363" s="131" t="s">
        <v>385</v>
      </c>
      <c r="E363" s="83" t="s">
        <v>3446</v>
      </c>
      <c r="F363" s="81" t="s">
        <v>207</v>
      </c>
      <c r="G363" s="84">
        <v>0.126</v>
      </c>
      <c r="H363" s="85"/>
      <c r="I363" s="86">
        <v>776.56</v>
      </c>
      <c r="J363" s="185">
        <f t="shared" si="50"/>
        <v>7017.39</v>
      </c>
      <c r="K363" s="189">
        <f t="shared" si="51"/>
        <v>884.19</v>
      </c>
      <c r="L363" s="189"/>
      <c r="M363" s="138"/>
      <c r="N363" s="138"/>
      <c r="O363" s="138"/>
      <c r="S363" s="72"/>
      <c r="T363" s="72"/>
      <c r="U363" s="72"/>
      <c r="V363" s="72"/>
    </row>
    <row r="364" spans="1:22" s="63" customFormat="1" ht="22.5" x14ac:dyDescent="0.25">
      <c r="A364" s="87">
        <v>2.78</v>
      </c>
      <c r="B364" s="81" t="s">
        <v>40</v>
      </c>
      <c r="C364" s="80">
        <v>42.1</v>
      </c>
      <c r="D364" s="131" t="s">
        <v>383</v>
      </c>
      <c r="E364" s="83" t="s">
        <v>384</v>
      </c>
      <c r="F364" s="81" t="s">
        <v>205</v>
      </c>
      <c r="G364" s="88">
        <v>0.5141</v>
      </c>
      <c r="H364" s="85"/>
      <c r="I364" s="86">
        <v>3843.35</v>
      </c>
      <c r="J364" s="185">
        <f t="shared" si="50"/>
        <v>8512.0400000000009</v>
      </c>
      <c r="K364" s="189">
        <f t="shared" si="51"/>
        <v>4376.04</v>
      </c>
      <c r="L364" s="189"/>
      <c r="M364" s="138"/>
      <c r="N364" s="138"/>
      <c r="O364" s="138"/>
      <c r="S364" s="72"/>
      <c r="T364" s="72"/>
      <c r="U364" s="72"/>
      <c r="V364" s="72"/>
    </row>
    <row r="365" spans="1:22" s="63" customFormat="1" ht="15" x14ac:dyDescent="0.25">
      <c r="A365" s="87">
        <v>2.79</v>
      </c>
      <c r="B365" s="81" t="s">
        <v>40</v>
      </c>
      <c r="C365" s="82">
        <v>43</v>
      </c>
      <c r="D365" s="131" t="s">
        <v>387</v>
      </c>
      <c r="E365" s="83" t="s">
        <v>388</v>
      </c>
      <c r="F365" s="81" t="s">
        <v>226</v>
      </c>
      <c r="G365" s="90">
        <v>2.3184E-2</v>
      </c>
      <c r="H365" s="85"/>
      <c r="I365" s="86">
        <v>353.89</v>
      </c>
      <c r="J365" s="185">
        <f t="shared" si="50"/>
        <v>17380.05</v>
      </c>
      <c r="K365" s="189">
        <f t="shared" si="51"/>
        <v>402.94</v>
      </c>
      <c r="L365" s="189"/>
      <c r="M365" s="138"/>
      <c r="N365" s="138"/>
      <c r="O365" s="138"/>
      <c r="S365" s="72"/>
      <c r="T365" s="72"/>
      <c r="U365" s="72"/>
      <c r="V365" s="72"/>
    </row>
    <row r="366" spans="1:22" s="63" customFormat="1" ht="22.5" x14ac:dyDescent="0.25">
      <c r="A366" s="87">
        <v>2.8</v>
      </c>
      <c r="B366" s="81" t="s">
        <v>40</v>
      </c>
      <c r="C366" s="80">
        <v>43.1</v>
      </c>
      <c r="D366" s="131" t="s">
        <v>389</v>
      </c>
      <c r="E366" s="83" t="s">
        <v>390</v>
      </c>
      <c r="F366" s="81" t="s">
        <v>370</v>
      </c>
      <c r="G366" s="80">
        <v>12.6</v>
      </c>
      <c r="H366" s="85"/>
      <c r="I366" s="86">
        <v>1573.18</v>
      </c>
      <c r="J366" s="185">
        <f t="shared" si="50"/>
        <v>142.16</v>
      </c>
      <c r="K366" s="189">
        <f t="shared" si="51"/>
        <v>1791.22</v>
      </c>
      <c r="L366" s="189"/>
      <c r="M366" s="138"/>
      <c r="N366" s="138"/>
      <c r="O366" s="138"/>
      <c r="S366" s="72"/>
      <c r="T366" s="72"/>
      <c r="U366" s="72"/>
      <c r="V366" s="72"/>
    </row>
    <row r="367" spans="1:22" s="63" customFormat="1" ht="15" x14ac:dyDescent="0.25">
      <c r="A367" s="87">
        <v>2.81</v>
      </c>
      <c r="B367" s="81" t="s">
        <v>40</v>
      </c>
      <c r="C367" s="82">
        <v>44</v>
      </c>
      <c r="D367" s="131" t="s">
        <v>414</v>
      </c>
      <c r="E367" s="83" t="s">
        <v>415</v>
      </c>
      <c r="F367" s="81" t="s">
        <v>207</v>
      </c>
      <c r="G367" s="84">
        <v>0.126</v>
      </c>
      <c r="H367" s="85"/>
      <c r="I367" s="86">
        <v>5314.01</v>
      </c>
      <c r="J367" s="185">
        <f t="shared" si="50"/>
        <v>48020.09</v>
      </c>
      <c r="K367" s="189">
        <f t="shared" si="51"/>
        <v>6050.53</v>
      </c>
      <c r="L367" s="189"/>
      <c r="M367" s="138"/>
      <c r="N367" s="138"/>
      <c r="O367" s="138"/>
      <c r="S367" s="72"/>
      <c r="T367" s="72"/>
      <c r="U367" s="72"/>
      <c r="V367" s="72"/>
    </row>
    <row r="368" spans="1:22" s="63" customFormat="1" ht="33.75" x14ac:dyDescent="0.25">
      <c r="A368" s="87">
        <v>2.82</v>
      </c>
      <c r="B368" s="81" t="s">
        <v>40</v>
      </c>
      <c r="C368" s="80">
        <v>44.1</v>
      </c>
      <c r="D368" s="131" t="s">
        <v>416</v>
      </c>
      <c r="E368" s="83" t="s">
        <v>417</v>
      </c>
      <c r="F368" s="81" t="s">
        <v>370</v>
      </c>
      <c r="G368" s="87">
        <v>12.85</v>
      </c>
      <c r="H368" s="85"/>
      <c r="I368" s="86">
        <v>34226.720000000001</v>
      </c>
      <c r="J368" s="185">
        <f t="shared" si="50"/>
        <v>3032.73</v>
      </c>
      <c r="K368" s="189">
        <f t="shared" si="51"/>
        <v>38970.58</v>
      </c>
      <c r="L368" s="189"/>
      <c r="M368" s="138"/>
      <c r="N368" s="138"/>
      <c r="O368" s="138"/>
      <c r="S368" s="72"/>
      <c r="T368" s="72"/>
      <c r="U368" s="72"/>
      <c r="V368" s="72"/>
    </row>
    <row r="369" spans="1:22" s="63" customFormat="1" ht="22.5" x14ac:dyDescent="0.25">
      <c r="A369" s="87">
        <v>2.83</v>
      </c>
      <c r="B369" s="81" t="s">
        <v>40</v>
      </c>
      <c r="C369" s="80">
        <v>44.2</v>
      </c>
      <c r="D369" s="131" t="s">
        <v>418</v>
      </c>
      <c r="E369" s="83" t="s">
        <v>419</v>
      </c>
      <c r="F369" s="81" t="s">
        <v>210</v>
      </c>
      <c r="G369" s="80">
        <v>6.3</v>
      </c>
      <c r="H369" s="85"/>
      <c r="I369" s="86">
        <v>1429.95</v>
      </c>
      <c r="J369" s="185">
        <f t="shared" si="50"/>
        <v>258.44</v>
      </c>
      <c r="K369" s="189">
        <f t="shared" si="51"/>
        <v>1628.17</v>
      </c>
      <c r="L369" s="189"/>
      <c r="M369" s="138"/>
      <c r="N369" s="138"/>
      <c r="O369" s="138"/>
      <c r="S369" s="72"/>
      <c r="T369" s="72"/>
      <c r="U369" s="72"/>
      <c r="V369" s="72"/>
    </row>
    <row r="370" spans="1:22" s="128" customFormat="1" ht="12.75" x14ac:dyDescent="0.25">
      <c r="A370" s="237"/>
      <c r="B370" s="125"/>
      <c r="C370" s="236"/>
      <c r="D370" s="77"/>
      <c r="E370" s="126" t="s">
        <v>3242</v>
      </c>
      <c r="F370" s="125"/>
      <c r="G370" s="236"/>
      <c r="H370" s="127"/>
      <c r="I370" s="78"/>
      <c r="J370" s="238"/>
      <c r="K370" s="239"/>
      <c r="L370" s="239"/>
      <c r="M370" s="79"/>
      <c r="N370" s="79"/>
      <c r="O370" s="79"/>
      <c r="S370" s="129"/>
      <c r="T370" s="129"/>
      <c r="U370" s="129"/>
      <c r="V370" s="129"/>
    </row>
    <row r="371" spans="1:22" s="128" customFormat="1" ht="12.75" x14ac:dyDescent="0.25">
      <c r="A371" s="237"/>
      <c r="B371" s="125"/>
      <c r="C371" s="236"/>
      <c r="D371" s="77"/>
      <c r="E371" s="126" t="s">
        <v>3243</v>
      </c>
      <c r="F371" s="125"/>
      <c r="G371" s="236"/>
      <c r="H371" s="127"/>
      <c r="I371" s="78"/>
      <c r="J371" s="238"/>
      <c r="K371" s="239"/>
      <c r="L371" s="239"/>
      <c r="M371" s="79"/>
      <c r="N371" s="79"/>
      <c r="O371" s="79"/>
      <c r="S371" s="129"/>
      <c r="T371" s="129"/>
      <c r="U371" s="129"/>
      <c r="V371" s="129"/>
    </row>
    <row r="372" spans="1:22" s="63" customFormat="1" ht="22.5" x14ac:dyDescent="0.25">
      <c r="A372" s="87">
        <v>2.84</v>
      </c>
      <c r="B372" s="81" t="s">
        <v>40</v>
      </c>
      <c r="C372" s="82">
        <v>45</v>
      </c>
      <c r="D372" s="131" t="s">
        <v>375</v>
      </c>
      <c r="E372" s="83" t="s">
        <v>376</v>
      </c>
      <c r="F372" s="81" t="s">
        <v>207</v>
      </c>
      <c r="G372" s="87">
        <v>3.14</v>
      </c>
      <c r="H372" s="85"/>
      <c r="I372" s="86">
        <v>414438.84</v>
      </c>
      <c r="J372" s="185">
        <f t="shared" ref="J372:J386" si="52">ROUND($I372/$G372*$N$11,2)</f>
        <v>150280.26999999999</v>
      </c>
      <c r="K372" s="189">
        <f t="shared" ref="K372:K386" si="53">ROUND(G372*J372,2)</f>
        <v>471880.05</v>
      </c>
      <c r="L372" s="189"/>
      <c r="M372" s="138"/>
      <c r="N372" s="138"/>
      <c r="O372" s="138"/>
      <c r="S372" s="72"/>
      <c r="T372" s="72"/>
      <c r="U372" s="72"/>
      <c r="V372" s="72"/>
    </row>
    <row r="373" spans="1:22" s="63" customFormat="1" ht="22.5" x14ac:dyDescent="0.25">
      <c r="A373" s="87">
        <v>2.85</v>
      </c>
      <c r="B373" s="81" t="s">
        <v>40</v>
      </c>
      <c r="C373" s="82">
        <v>46</v>
      </c>
      <c r="D373" s="131" t="s">
        <v>377</v>
      </c>
      <c r="E373" s="83" t="s">
        <v>378</v>
      </c>
      <c r="F373" s="81" t="s">
        <v>207</v>
      </c>
      <c r="G373" s="87">
        <v>3.14</v>
      </c>
      <c r="H373" s="85"/>
      <c r="I373" s="86">
        <v>99364.24</v>
      </c>
      <c r="J373" s="185">
        <f t="shared" si="52"/>
        <v>36030.61</v>
      </c>
      <c r="K373" s="189">
        <f t="shared" si="53"/>
        <v>113136.12</v>
      </c>
      <c r="L373" s="189"/>
      <c r="M373" s="138"/>
      <c r="N373" s="138"/>
      <c r="O373" s="138"/>
      <c r="S373" s="72"/>
      <c r="T373" s="72"/>
      <c r="U373" s="72"/>
      <c r="V373" s="72"/>
    </row>
    <row r="374" spans="1:22" s="63" customFormat="1" ht="22.5" x14ac:dyDescent="0.25">
      <c r="A374" s="87">
        <v>2.86</v>
      </c>
      <c r="B374" s="81" t="s">
        <v>40</v>
      </c>
      <c r="C374" s="80">
        <v>46.1</v>
      </c>
      <c r="D374" s="131" t="s">
        <v>379</v>
      </c>
      <c r="E374" s="83" t="s">
        <v>380</v>
      </c>
      <c r="F374" s="81" t="s">
        <v>205</v>
      </c>
      <c r="G374" s="84">
        <v>8.0850000000000009</v>
      </c>
      <c r="H374" s="85"/>
      <c r="I374" s="86">
        <v>65349.07</v>
      </c>
      <c r="J374" s="185">
        <f t="shared" si="52"/>
        <v>9203.02</v>
      </c>
      <c r="K374" s="189">
        <f t="shared" si="53"/>
        <v>74406.42</v>
      </c>
      <c r="L374" s="189"/>
      <c r="M374" s="138"/>
      <c r="N374" s="138"/>
      <c r="O374" s="138"/>
      <c r="S374" s="72"/>
      <c r="T374" s="72"/>
      <c r="U374" s="72"/>
      <c r="V374" s="72"/>
    </row>
    <row r="375" spans="1:22" s="63" customFormat="1" ht="15" x14ac:dyDescent="0.25">
      <c r="A375" s="87">
        <v>2.87</v>
      </c>
      <c r="B375" s="81" t="s">
        <v>40</v>
      </c>
      <c r="C375" s="82">
        <v>47</v>
      </c>
      <c r="D375" s="131" t="s">
        <v>381</v>
      </c>
      <c r="E375" s="83" t="s">
        <v>382</v>
      </c>
      <c r="F375" s="81" t="s">
        <v>207</v>
      </c>
      <c r="G375" s="87">
        <v>3.14</v>
      </c>
      <c r="H375" s="85"/>
      <c r="I375" s="86">
        <v>119673.21</v>
      </c>
      <c r="J375" s="185">
        <f t="shared" si="52"/>
        <v>43394.879999999997</v>
      </c>
      <c r="K375" s="189">
        <f t="shared" si="53"/>
        <v>136259.92000000001</v>
      </c>
      <c r="L375" s="189"/>
      <c r="M375" s="138"/>
      <c r="N375" s="138"/>
      <c r="O375" s="138"/>
      <c r="S375" s="72"/>
      <c r="T375" s="72"/>
      <c r="U375" s="72"/>
      <c r="V375" s="72"/>
    </row>
    <row r="376" spans="1:22" s="63" customFormat="1" ht="22.5" x14ac:dyDescent="0.25">
      <c r="A376" s="87">
        <v>2.88</v>
      </c>
      <c r="B376" s="81" t="s">
        <v>40</v>
      </c>
      <c r="C376" s="80">
        <v>47.1</v>
      </c>
      <c r="D376" s="131" t="s">
        <v>383</v>
      </c>
      <c r="E376" s="83" t="s">
        <v>384</v>
      </c>
      <c r="F376" s="81" t="s">
        <v>205</v>
      </c>
      <c r="G376" s="84">
        <v>6.4020000000000001</v>
      </c>
      <c r="H376" s="85"/>
      <c r="I376" s="86">
        <v>47860.71</v>
      </c>
      <c r="J376" s="185">
        <f t="shared" si="52"/>
        <v>8512.06</v>
      </c>
      <c r="K376" s="189">
        <f t="shared" si="53"/>
        <v>54494.21</v>
      </c>
      <c r="L376" s="189"/>
      <c r="M376" s="138"/>
      <c r="N376" s="138"/>
      <c r="O376" s="138"/>
      <c r="S376" s="72"/>
      <c r="T376" s="72"/>
      <c r="U376" s="72"/>
      <c r="V376" s="72"/>
    </row>
    <row r="377" spans="1:22" s="63" customFormat="1" ht="22.5" x14ac:dyDescent="0.25">
      <c r="A377" s="87">
        <v>2.89</v>
      </c>
      <c r="B377" s="81" t="s">
        <v>40</v>
      </c>
      <c r="C377" s="82">
        <v>48</v>
      </c>
      <c r="D377" s="131" t="s">
        <v>385</v>
      </c>
      <c r="E377" s="83" t="s">
        <v>3447</v>
      </c>
      <c r="F377" s="81" t="s">
        <v>207</v>
      </c>
      <c r="G377" s="87">
        <v>3.14</v>
      </c>
      <c r="H377" s="85"/>
      <c r="I377" s="86">
        <v>9673.4</v>
      </c>
      <c r="J377" s="185">
        <f t="shared" si="52"/>
        <v>3507.69</v>
      </c>
      <c r="K377" s="189">
        <f t="shared" si="53"/>
        <v>11014.15</v>
      </c>
      <c r="L377" s="189"/>
      <c r="M377" s="138"/>
      <c r="N377" s="138"/>
      <c r="O377" s="138"/>
      <c r="S377" s="72"/>
      <c r="T377" s="72"/>
      <c r="U377" s="72"/>
      <c r="V377" s="72"/>
    </row>
    <row r="378" spans="1:22" s="63" customFormat="1" ht="22.5" x14ac:dyDescent="0.25">
      <c r="A378" s="87">
        <v>2.9</v>
      </c>
      <c r="B378" s="81" t="s">
        <v>40</v>
      </c>
      <c r="C378" s="80">
        <v>48.1</v>
      </c>
      <c r="D378" s="131" t="s">
        <v>383</v>
      </c>
      <c r="E378" s="83" t="s">
        <v>384</v>
      </c>
      <c r="F378" s="81" t="s">
        <v>205</v>
      </c>
      <c r="G378" s="84">
        <v>6.4020000000000001</v>
      </c>
      <c r="H378" s="85"/>
      <c r="I378" s="86">
        <v>47860.71</v>
      </c>
      <c r="J378" s="185">
        <f t="shared" si="52"/>
        <v>8512.06</v>
      </c>
      <c r="K378" s="189">
        <f t="shared" si="53"/>
        <v>54494.21</v>
      </c>
      <c r="L378" s="189"/>
      <c r="M378" s="138"/>
      <c r="N378" s="138"/>
      <c r="O378" s="138"/>
      <c r="S378" s="72"/>
      <c r="T378" s="72"/>
      <c r="U378" s="72"/>
      <c r="V378" s="72"/>
    </row>
    <row r="379" spans="1:22" s="63" customFormat="1" ht="15" x14ac:dyDescent="0.25">
      <c r="A379" s="87">
        <v>2.91</v>
      </c>
      <c r="B379" s="81" t="s">
        <v>40</v>
      </c>
      <c r="C379" s="82">
        <v>49</v>
      </c>
      <c r="D379" s="131" t="s">
        <v>387</v>
      </c>
      <c r="E379" s="83" t="s">
        <v>388</v>
      </c>
      <c r="F379" s="81" t="s">
        <v>226</v>
      </c>
      <c r="G379" s="89">
        <v>0.57776000000000005</v>
      </c>
      <c r="H379" s="85"/>
      <c r="I379" s="86">
        <v>8804.6299999999992</v>
      </c>
      <c r="J379" s="185">
        <f t="shared" si="52"/>
        <v>17351.41</v>
      </c>
      <c r="K379" s="189">
        <f t="shared" si="53"/>
        <v>10024.950000000001</v>
      </c>
      <c r="L379" s="189"/>
      <c r="M379" s="138"/>
      <c r="N379" s="138"/>
      <c r="O379" s="138"/>
      <c r="S379" s="72"/>
      <c r="T379" s="72"/>
      <c r="U379" s="72"/>
      <c r="V379" s="72"/>
    </row>
    <row r="380" spans="1:22" s="63" customFormat="1" ht="22.5" x14ac:dyDescent="0.25">
      <c r="A380" s="87">
        <v>2.92</v>
      </c>
      <c r="B380" s="81" t="s">
        <v>40</v>
      </c>
      <c r="C380" s="80">
        <v>49.1</v>
      </c>
      <c r="D380" s="131" t="s">
        <v>389</v>
      </c>
      <c r="E380" s="83" t="s">
        <v>390</v>
      </c>
      <c r="F380" s="81" t="s">
        <v>370</v>
      </c>
      <c r="G380" s="82">
        <v>314</v>
      </c>
      <c r="H380" s="85"/>
      <c r="I380" s="86">
        <v>39203.78</v>
      </c>
      <c r="J380" s="185">
        <f t="shared" si="52"/>
        <v>142.16</v>
      </c>
      <c r="K380" s="189">
        <f t="shared" si="53"/>
        <v>44638.239999999998</v>
      </c>
      <c r="L380" s="189"/>
      <c r="M380" s="138"/>
      <c r="N380" s="138"/>
      <c r="O380" s="138"/>
      <c r="S380" s="72"/>
      <c r="T380" s="72"/>
      <c r="U380" s="72"/>
      <c r="V380" s="72"/>
    </row>
    <row r="381" spans="1:22" s="63" customFormat="1" ht="33.75" x14ac:dyDescent="0.25">
      <c r="A381" s="87">
        <v>2.93</v>
      </c>
      <c r="B381" s="81" t="s">
        <v>40</v>
      </c>
      <c r="C381" s="82">
        <v>50</v>
      </c>
      <c r="D381" s="131" t="s">
        <v>391</v>
      </c>
      <c r="E381" s="83" t="s">
        <v>392</v>
      </c>
      <c r="F381" s="81" t="s">
        <v>207</v>
      </c>
      <c r="G381" s="87">
        <v>3.14</v>
      </c>
      <c r="H381" s="85"/>
      <c r="I381" s="86">
        <v>668516.75</v>
      </c>
      <c r="J381" s="185">
        <f t="shared" si="52"/>
        <v>242411.84</v>
      </c>
      <c r="K381" s="189">
        <f t="shared" si="53"/>
        <v>761173.18</v>
      </c>
      <c r="L381" s="189"/>
      <c r="M381" s="138"/>
      <c r="N381" s="138"/>
      <c r="O381" s="138"/>
      <c r="S381" s="72"/>
      <c r="T381" s="72"/>
      <c r="U381" s="72"/>
      <c r="V381" s="72"/>
    </row>
    <row r="382" spans="1:22" s="63" customFormat="1" ht="33.75" x14ac:dyDescent="0.25">
      <c r="A382" s="87">
        <v>2.94</v>
      </c>
      <c r="B382" s="81" t="s">
        <v>40</v>
      </c>
      <c r="C382" s="82">
        <v>51</v>
      </c>
      <c r="D382" s="131" t="s">
        <v>391</v>
      </c>
      <c r="E382" s="83" t="s">
        <v>392</v>
      </c>
      <c r="F382" s="81" t="s">
        <v>207</v>
      </c>
      <c r="G382" s="88">
        <v>1.35E-2</v>
      </c>
      <c r="H382" s="85"/>
      <c r="I382" s="86">
        <v>2873.85</v>
      </c>
      <c r="J382" s="185">
        <f t="shared" si="52"/>
        <v>242382.64</v>
      </c>
      <c r="K382" s="189">
        <f t="shared" si="53"/>
        <v>3272.17</v>
      </c>
      <c r="L382" s="189"/>
      <c r="M382" s="138"/>
      <c r="N382" s="138"/>
      <c r="O382" s="138"/>
      <c r="S382" s="72"/>
      <c r="T382" s="72"/>
      <c r="U382" s="72"/>
      <c r="V382" s="72"/>
    </row>
    <row r="383" spans="1:22" s="63" customFormat="1" ht="22.5" x14ac:dyDescent="0.25">
      <c r="A383" s="87">
        <v>2.95</v>
      </c>
      <c r="B383" s="81" t="s">
        <v>40</v>
      </c>
      <c r="C383" s="80">
        <v>51.1</v>
      </c>
      <c r="D383" s="131" t="s">
        <v>393</v>
      </c>
      <c r="E383" s="83" t="s">
        <v>394</v>
      </c>
      <c r="F383" s="81" t="s">
        <v>370</v>
      </c>
      <c r="G383" s="84">
        <v>-1.377</v>
      </c>
      <c r="H383" s="85"/>
      <c r="I383" s="86">
        <v>-983.37</v>
      </c>
      <c r="J383" s="185">
        <f t="shared" si="52"/>
        <v>813.12</v>
      </c>
      <c r="K383" s="189">
        <f t="shared" si="53"/>
        <v>-1119.67</v>
      </c>
      <c r="L383" s="189"/>
      <c r="M383" s="138"/>
      <c r="N383" s="138"/>
      <c r="O383" s="138"/>
      <c r="S383" s="72"/>
      <c r="T383" s="72"/>
      <c r="U383" s="72"/>
      <c r="V383" s="72"/>
    </row>
    <row r="384" spans="1:22" s="63" customFormat="1" ht="15" x14ac:dyDescent="0.25">
      <c r="A384" s="87">
        <v>2.96</v>
      </c>
      <c r="B384" s="81" t="s">
        <v>40</v>
      </c>
      <c r="C384" s="80">
        <v>51.2</v>
      </c>
      <c r="D384" s="131" t="s">
        <v>395</v>
      </c>
      <c r="E384" s="83" t="s">
        <v>3450</v>
      </c>
      <c r="F384" s="81" t="s">
        <v>219</v>
      </c>
      <c r="G384" s="82">
        <v>15</v>
      </c>
      <c r="H384" s="85"/>
      <c r="I384" s="86">
        <v>2552.8200000000002</v>
      </c>
      <c r="J384" s="185">
        <f t="shared" si="52"/>
        <v>193.78</v>
      </c>
      <c r="K384" s="189">
        <f t="shared" si="53"/>
        <v>2906.7</v>
      </c>
      <c r="L384" s="189"/>
      <c r="M384" s="138"/>
      <c r="N384" s="138"/>
      <c r="O384" s="138"/>
      <c r="S384" s="72"/>
      <c r="T384" s="72"/>
      <c r="U384" s="72"/>
      <c r="V384" s="72"/>
    </row>
    <row r="385" spans="1:22" s="63" customFormat="1" ht="15" x14ac:dyDescent="0.25">
      <c r="A385" s="87">
        <v>2.97</v>
      </c>
      <c r="B385" s="81" t="s">
        <v>40</v>
      </c>
      <c r="C385" s="82">
        <v>52</v>
      </c>
      <c r="D385" s="131" t="s">
        <v>396</v>
      </c>
      <c r="E385" s="83" t="s">
        <v>3448</v>
      </c>
      <c r="F385" s="81" t="s">
        <v>207</v>
      </c>
      <c r="G385" s="88">
        <v>2.7000000000000001E-3</v>
      </c>
      <c r="H385" s="85"/>
      <c r="I385" s="86">
        <v>47.55</v>
      </c>
      <c r="J385" s="185">
        <f t="shared" si="52"/>
        <v>20052.009999999998</v>
      </c>
      <c r="K385" s="189">
        <f t="shared" si="53"/>
        <v>54.14</v>
      </c>
      <c r="L385" s="189"/>
      <c r="M385" s="138"/>
      <c r="N385" s="138"/>
      <c r="O385" s="138"/>
      <c r="S385" s="72"/>
      <c r="T385" s="72"/>
      <c r="U385" s="72"/>
      <c r="V385" s="72"/>
    </row>
    <row r="386" spans="1:22" s="63" customFormat="1" ht="22.5" x14ac:dyDescent="0.25">
      <c r="A386" s="87">
        <v>2.98</v>
      </c>
      <c r="B386" s="81" t="s">
        <v>40</v>
      </c>
      <c r="C386" s="80">
        <v>52.1</v>
      </c>
      <c r="D386" s="131" t="s">
        <v>398</v>
      </c>
      <c r="E386" s="83" t="s">
        <v>3430</v>
      </c>
      <c r="F386" s="81" t="s">
        <v>334</v>
      </c>
      <c r="G386" s="80">
        <v>5.4</v>
      </c>
      <c r="H386" s="85"/>
      <c r="I386" s="86">
        <v>1091.3499999999999</v>
      </c>
      <c r="J386" s="185">
        <f t="shared" si="52"/>
        <v>230.11</v>
      </c>
      <c r="K386" s="189">
        <f t="shared" si="53"/>
        <v>1242.5899999999999</v>
      </c>
      <c r="L386" s="189"/>
      <c r="M386" s="138"/>
      <c r="N386" s="138"/>
      <c r="O386" s="138"/>
      <c r="S386" s="72"/>
      <c r="T386" s="72"/>
      <c r="U386" s="72"/>
      <c r="V386" s="72"/>
    </row>
    <row r="387" spans="1:22" s="128" customFormat="1" ht="12.75" x14ac:dyDescent="0.25">
      <c r="A387" s="237"/>
      <c r="B387" s="125"/>
      <c r="C387" s="236"/>
      <c r="D387" s="77"/>
      <c r="E387" s="126" t="s">
        <v>3244</v>
      </c>
      <c r="F387" s="125"/>
      <c r="G387" s="236"/>
      <c r="H387" s="127"/>
      <c r="I387" s="78"/>
      <c r="J387" s="238"/>
      <c r="K387" s="239"/>
      <c r="L387" s="239"/>
      <c r="M387" s="79"/>
      <c r="N387" s="79"/>
      <c r="O387" s="79"/>
      <c r="S387" s="129"/>
      <c r="T387" s="129"/>
      <c r="U387" s="129"/>
      <c r="V387" s="129"/>
    </row>
    <row r="388" spans="1:22" s="63" customFormat="1" ht="22.5" x14ac:dyDescent="0.25">
      <c r="A388" s="87">
        <v>2.99</v>
      </c>
      <c r="B388" s="81" t="s">
        <v>40</v>
      </c>
      <c r="C388" s="82">
        <v>53</v>
      </c>
      <c r="D388" s="131" t="s">
        <v>375</v>
      </c>
      <c r="E388" s="83" t="s">
        <v>376</v>
      </c>
      <c r="F388" s="81" t="s">
        <v>207</v>
      </c>
      <c r="G388" s="84">
        <v>0.92300000000000004</v>
      </c>
      <c r="H388" s="85"/>
      <c r="I388" s="86">
        <v>121824.83</v>
      </c>
      <c r="J388" s="185">
        <f t="shared" ref="J388:J400" si="54">ROUND($I388/$G388*$N$11,2)</f>
        <v>150281.42000000001</v>
      </c>
      <c r="K388" s="189">
        <f t="shared" ref="K388:K400" si="55">ROUND(G388*J388,2)</f>
        <v>138709.75</v>
      </c>
      <c r="L388" s="189"/>
      <c r="M388" s="138"/>
      <c r="N388" s="138"/>
      <c r="O388" s="138"/>
      <c r="S388" s="72"/>
      <c r="T388" s="72"/>
      <c r="U388" s="72"/>
      <c r="V388" s="72"/>
    </row>
    <row r="389" spans="1:22" s="63" customFormat="1" ht="22.5" x14ac:dyDescent="0.25">
      <c r="A389" s="84">
        <v>2.1</v>
      </c>
      <c r="B389" s="81" t="s">
        <v>40</v>
      </c>
      <c r="C389" s="82">
        <v>54</v>
      </c>
      <c r="D389" s="131" t="s">
        <v>399</v>
      </c>
      <c r="E389" s="114" t="s">
        <v>3449</v>
      </c>
      <c r="F389" s="81" t="s">
        <v>207</v>
      </c>
      <c r="G389" s="84">
        <v>-0.92300000000000004</v>
      </c>
      <c r="H389" s="85"/>
      <c r="I389" s="86">
        <v>-38058.589999999997</v>
      </c>
      <c r="J389" s="185">
        <f t="shared" si="54"/>
        <v>46948.55</v>
      </c>
      <c r="K389" s="189">
        <f t="shared" si="55"/>
        <v>-43333.51</v>
      </c>
      <c r="L389" s="189"/>
      <c r="M389" s="138"/>
      <c r="N389" s="138"/>
      <c r="O389" s="138"/>
      <c r="S389" s="72"/>
      <c r="T389" s="72"/>
      <c r="U389" s="72"/>
      <c r="V389" s="72"/>
    </row>
    <row r="390" spans="1:22" s="63" customFormat="1" ht="22.5" x14ac:dyDescent="0.25">
      <c r="A390" s="84">
        <v>2.101</v>
      </c>
      <c r="B390" s="81" t="s">
        <v>40</v>
      </c>
      <c r="C390" s="82">
        <v>55</v>
      </c>
      <c r="D390" s="131" t="s">
        <v>377</v>
      </c>
      <c r="E390" s="83" t="s">
        <v>378</v>
      </c>
      <c r="F390" s="81" t="s">
        <v>207</v>
      </c>
      <c r="G390" s="84">
        <v>0.92300000000000004</v>
      </c>
      <c r="H390" s="85"/>
      <c r="I390" s="86">
        <v>29208.52</v>
      </c>
      <c r="J390" s="185">
        <f t="shared" si="54"/>
        <v>36031.230000000003</v>
      </c>
      <c r="K390" s="189">
        <f t="shared" si="55"/>
        <v>33256.83</v>
      </c>
      <c r="L390" s="189"/>
      <c r="M390" s="138"/>
      <c r="N390" s="138"/>
      <c r="O390" s="138"/>
      <c r="S390" s="72"/>
      <c r="T390" s="72"/>
      <c r="U390" s="72"/>
      <c r="V390" s="72"/>
    </row>
    <row r="391" spans="1:22" s="63" customFormat="1" ht="22.5" x14ac:dyDescent="0.25">
      <c r="A391" s="84">
        <v>2.1019999999999999</v>
      </c>
      <c r="B391" s="81" t="s">
        <v>40</v>
      </c>
      <c r="C391" s="80">
        <v>55.1</v>
      </c>
      <c r="D391" s="131" t="s">
        <v>379</v>
      </c>
      <c r="E391" s="83" t="s">
        <v>380</v>
      </c>
      <c r="F391" s="81" t="s">
        <v>205</v>
      </c>
      <c r="G391" s="89">
        <v>2.3767499999999999</v>
      </c>
      <c r="H391" s="85"/>
      <c r="I391" s="86">
        <v>19210.73</v>
      </c>
      <c r="J391" s="185">
        <f t="shared" si="54"/>
        <v>9203.0400000000009</v>
      </c>
      <c r="K391" s="189">
        <f t="shared" si="55"/>
        <v>21873.33</v>
      </c>
      <c r="L391" s="189"/>
      <c r="M391" s="138"/>
      <c r="N391" s="138"/>
      <c r="O391" s="138"/>
      <c r="S391" s="72"/>
      <c r="T391" s="72"/>
      <c r="U391" s="72"/>
      <c r="V391" s="72"/>
    </row>
    <row r="392" spans="1:22" s="63" customFormat="1" ht="15" x14ac:dyDescent="0.25">
      <c r="A392" s="84">
        <v>2.1030000000000002</v>
      </c>
      <c r="B392" s="81" t="s">
        <v>40</v>
      </c>
      <c r="C392" s="82">
        <v>56</v>
      </c>
      <c r="D392" s="131" t="s">
        <v>381</v>
      </c>
      <c r="E392" s="83" t="s">
        <v>382</v>
      </c>
      <c r="F392" s="81" t="s">
        <v>207</v>
      </c>
      <c r="G392" s="84">
        <v>0.92300000000000004</v>
      </c>
      <c r="H392" s="85"/>
      <c r="I392" s="86">
        <v>35177.480000000003</v>
      </c>
      <c r="J392" s="185">
        <f t="shared" si="54"/>
        <v>43394.45</v>
      </c>
      <c r="K392" s="189">
        <f t="shared" si="55"/>
        <v>40053.08</v>
      </c>
      <c r="L392" s="189"/>
      <c r="M392" s="138"/>
      <c r="N392" s="138"/>
      <c r="O392" s="138"/>
      <c r="S392" s="72"/>
      <c r="T392" s="72"/>
      <c r="U392" s="72"/>
      <c r="V392" s="72"/>
    </row>
    <row r="393" spans="1:22" s="63" customFormat="1" ht="22.5" x14ac:dyDescent="0.25">
      <c r="A393" s="84">
        <v>2.1040000000000001</v>
      </c>
      <c r="B393" s="81" t="s">
        <v>40</v>
      </c>
      <c r="C393" s="80">
        <v>56.1</v>
      </c>
      <c r="D393" s="131" t="s">
        <v>383</v>
      </c>
      <c r="E393" s="83" t="s">
        <v>384</v>
      </c>
      <c r="F393" s="81" t="s">
        <v>205</v>
      </c>
      <c r="G393" s="84">
        <v>1.863</v>
      </c>
      <c r="H393" s="85"/>
      <c r="I393" s="86">
        <v>13927.57</v>
      </c>
      <c r="J393" s="185">
        <f t="shared" si="54"/>
        <v>8512.0400000000009</v>
      </c>
      <c r="K393" s="189">
        <f t="shared" si="55"/>
        <v>15857.93</v>
      </c>
      <c r="L393" s="189"/>
      <c r="M393" s="138"/>
      <c r="N393" s="138"/>
      <c r="O393" s="138"/>
      <c r="S393" s="72"/>
      <c r="T393" s="72"/>
      <c r="U393" s="72"/>
      <c r="V393" s="72"/>
    </row>
    <row r="394" spans="1:22" s="63" customFormat="1" ht="22.5" x14ac:dyDescent="0.25">
      <c r="A394" s="84">
        <v>2.105</v>
      </c>
      <c r="B394" s="81" t="s">
        <v>40</v>
      </c>
      <c r="C394" s="82">
        <v>57</v>
      </c>
      <c r="D394" s="131" t="s">
        <v>385</v>
      </c>
      <c r="E394" s="83" t="s">
        <v>3442</v>
      </c>
      <c r="F394" s="81" t="s">
        <v>207</v>
      </c>
      <c r="G394" s="84">
        <v>0.92300000000000004</v>
      </c>
      <c r="H394" s="85"/>
      <c r="I394" s="86">
        <v>2843.76</v>
      </c>
      <c r="J394" s="185">
        <f t="shared" si="54"/>
        <v>3508.02</v>
      </c>
      <c r="K394" s="189">
        <f t="shared" si="55"/>
        <v>3237.9</v>
      </c>
      <c r="L394" s="189"/>
      <c r="M394" s="138"/>
      <c r="N394" s="138"/>
      <c r="O394" s="138"/>
      <c r="S394" s="72"/>
      <c r="T394" s="72"/>
      <c r="U394" s="72"/>
      <c r="V394" s="72"/>
    </row>
    <row r="395" spans="1:22" s="63" customFormat="1" ht="22.5" x14ac:dyDescent="0.25">
      <c r="A395" s="84">
        <v>2.1059999999999999</v>
      </c>
      <c r="B395" s="81" t="s">
        <v>40</v>
      </c>
      <c r="C395" s="80">
        <v>57.1</v>
      </c>
      <c r="D395" s="131" t="s">
        <v>383</v>
      </c>
      <c r="E395" s="83" t="s">
        <v>384</v>
      </c>
      <c r="F395" s="81" t="s">
        <v>205</v>
      </c>
      <c r="G395" s="84">
        <v>1.863</v>
      </c>
      <c r="H395" s="85"/>
      <c r="I395" s="86">
        <v>13927.57</v>
      </c>
      <c r="J395" s="185">
        <f t="shared" si="54"/>
        <v>8512.0400000000009</v>
      </c>
      <c r="K395" s="189">
        <f t="shared" si="55"/>
        <v>15857.93</v>
      </c>
      <c r="L395" s="189"/>
      <c r="M395" s="138"/>
      <c r="N395" s="138"/>
      <c r="O395" s="138"/>
      <c r="S395" s="72"/>
      <c r="T395" s="72"/>
      <c r="U395" s="72"/>
      <c r="V395" s="72"/>
    </row>
    <row r="396" spans="1:22" s="63" customFormat="1" ht="15" x14ac:dyDescent="0.25">
      <c r="A396" s="84">
        <v>2.1070000000000002</v>
      </c>
      <c r="B396" s="81" t="s">
        <v>40</v>
      </c>
      <c r="C396" s="82">
        <v>58</v>
      </c>
      <c r="D396" s="131" t="s">
        <v>387</v>
      </c>
      <c r="E396" s="83" t="s">
        <v>388</v>
      </c>
      <c r="F396" s="81" t="s">
        <v>226</v>
      </c>
      <c r="G396" s="90">
        <v>0.16983200000000001</v>
      </c>
      <c r="H396" s="85"/>
      <c r="I396" s="86">
        <v>2588.42</v>
      </c>
      <c r="J396" s="185">
        <f t="shared" si="54"/>
        <v>17353.47</v>
      </c>
      <c r="K396" s="189">
        <f t="shared" si="55"/>
        <v>2947.17</v>
      </c>
      <c r="L396" s="189"/>
      <c r="M396" s="138"/>
      <c r="N396" s="138"/>
      <c r="O396" s="138"/>
      <c r="S396" s="72"/>
      <c r="T396" s="72"/>
      <c r="U396" s="72"/>
      <c r="V396" s="72"/>
    </row>
    <row r="397" spans="1:22" s="63" customFormat="1" ht="22.5" x14ac:dyDescent="0.25">
      <c r="A397" s="84">
        <v>2.1080000000000001</v>
      </c>
      <c r="B397" s="81" t="s">
        <v>40</v>
      </c>
      <c r="C397" s="80">
        <v>58.1</v>
      </c>
      <c r="D397" s="131" t="s">
        <v>389</v>
      </c>
      <c r="E397" s="83" t="s">
        <v>390</v>
      </c>
      <c r="F397" s="81" t="s">
        <v>370</v>
      </c>
      <c r="G397" s="80">
        <v>92.3</v>
      </c>
      <c r="H397" s="85"/>
      <c r="I397" s="86">
        <v>11523.93</v>
      </c>
      <c r="J397" s="185">
        <f t="shared" si="54"/>
        <v>142.16</v>
      </c>
      <c r="K397" s="189">
        <f t="shared" si="55"/>
        <v>13121.37</v>
      </c>
      <c r="L397" s="189"/>
      <c r="M397" s="138"/>
      <c r="N397" s="138"/>
      <c r="O397" s="138"/>
      <c r="S397" s="72"/>
      <c r="T397" s="72"/>
      <c r="U397" s="72"/>
      <c r="V397" s="72"/>
    </row>
    <row r="398" spans="1:22" s="63" customFormat="1" ht="33.75" x14ac:dyDescent="0.25">
      <c r="A398" s="84">
        <v>2.109</v>
      </c>
      <c r="B398" s="81" t="s">
        <v>40</v>
      </c>
      <c r="C398" s="82">
        <v>59</v>
      </c>
      <c r="D398" s="131" t="s">
        <v>206</v>
      </c>
      <c r="E398" s="83" t="s">
        <v>420</v>
      </c>
      <c r="F398" s="81" t="s">
        <v>207</v>
      </c>
      <c r="G398" s="84">
        <v>0.92300000000000004</v>
      </c>
      <c r="H398" s="85"/>
      <c r="I398" s="86">
        <v>16979.79</v>
      </c>
      <c r="J398" s="185">
        <f t="shared" si="54"/>
        <v>20946.03</v>
      </c>
      <c r="K398" s="189">
        <f t="shared" si="55"/>
        <v>19333.189999999999</v>
      </c>
      <c r="L398" s="189"/>
      <c r="M398" s="138"/>
      <c r="N398" s="138"/>
      <c r="O398" s="138"/>
      <c r="S398" s="72"/>
      <c r="T398" s="72"/>
      <c r="U398" s="72"/>
      <c r="V398" s="72"/>
    </row>
    <row r="399" spans="1:22" s="63" customFormat="1" ht="22.5" x14ac:dyDescent="0.25">
      <c r="A399" s="84">
        <v>2.11</v>
      </c>
      <c r="B399" s="81" t="s">
        <v>40</v>
      </c>
      <c r="C399" s="80">
        <v>59.1</v>
      </c>
      <c r="D399" s="131" t="s">
        <v>421</v>
      </c>
      <c r="E399" s="83" t="s">
        <v>422</v>
      </c>
      <c r="F399" s="81" t="s">
        <v>210</v>
      </c>
      <c r="G399" s="80">
        <v>276.89999999999998</v>
      </c>
      <c r="H399" s="85"/>
      <c r="I399" s="86">
        <v>41800.82</v>
      </c>
      <c r="J399" s="185">
        <f t="shared" si="54"/>
        <v>171.88</v>
      </c>
      <c r="K399" s="189">
        <f t="shared" si="55"/>
        <v>47593.57</v>
      </c>
      <c r="L399" s="189"/>
      <c r="M399" s="138"/>
      <c r="N399" s="138"/>
      <c r="O399" s="138"/>
      <c r="S399" s="72"/>
      <c r="T399" s="72"/>
      <c r="U399" s="72"/>
      <c r="V399" s="72"/>
    </row>
    <row r="400" spans="1:22" s="63" customFormat="1" ht="33.75" x14ac:dyDescent="0.25">
      <c r="A400" s="84">
        <v>2.1110000000000002</v>
      </c>
      <c r="B400" s="81" t="s">
        <v>40</v>
      </c>
      <c r="C400" s="82">
        <v>60</v>
      </c>
      <c r="D400" s="131" t="s">
        <v>391</v>
      </c>
      <c r="E400" s="83" t="s">
        <v>392</v>
      </c>
      <c r="F400" s="81" t="s">
        <v>207</v>
      </c>
      <c r="G400" s="84">
        <v>0.92300000000000004</v>
      </c>
      <c r="H400" s="85"/>
      <c r="I400" s="86">
        <v>196510.01</v>
      </c>
      <c r="J400" s="185">
        <f t="shared" si="54"/>
        <v>242412.02</v>
      </c>
      <c r="K400" s="189">
        <f t="shared" si="55"/>
        <v>223746.29</v>
      </c>
      <c r="L400" s="189"/>
      <c r="M400" s="138"/>
      <c r="N400" s="138"/>
      <c r="O400" s="138"/>
      <c r="S400" s="72"/>
      <c r="T400" s="72"/>
      <c r="U400" s="72"/>
      <c r="V400" s="72"/>
    </row>
    <row r="401" spans="1:22" s="128" customFormat="1" ht="12.75" x14ac:dyDescent="0.25">
      <c r="A401" s="242"/>
      <c r="B401" s="125"/>
      <c r="C401" s="76"/>
      <c r="D401" s="77"/>
      <c r="E401" s="126" t="s">
        <v>3245</v>
      </c>
      <c r="F401" s="125"/>
      <c r="G401" s="242"/>
      <c r="H401" s="127"/>
      <c r="I401" s="78"/>
      <c r="J401" s="238"/>
      <c r="K401" s="239"/>
      <c r="L401" s="239"/>
      <c r="M401" s="79"/>
      <c r="N401" s="79"/>
      <c r="O401" s="79"/>
      <c r="S401" s="129"/>
      <c r="T401" s="129"/>
      <c r="U401" s="129"/>
      <c r="V401" s="129"/>
    </row>
    <row r="402" spans="1:22" s="63" customFormat="1" ht="22.5" x14ac:dyDescent="0.25">
      <c r="A402" s="84">
        <v>2.1120000000000001</v>
      </c>
      <c r="B402" s="81" t="s">
        <v>40</v>
      </c>
      <c r="C402" s="82">
        <v>61</v>
      </c>
      <c r="D402" s="131" t="s">
        <v>375</v>
      </c>
      <c r="E402" s="83" t="s">
        <v>376</v>
      </c>
      <c r="F402" s="81" t="s">
        <v>207</v>
      </c>
      <c r="G402" s="84">
        <v>7.4820000000000002</v>
      </c>
      <c r="H402" s="85"/>
      <c r="I402" s="86">
        <v>987526.42</v>
      </c>
      <c r="J402" s="185">
        <f t="shared" ref="J402:J413" si="56">ROUND($I402/$G402*$N$11,2)</f>
        <v>150280.35</v>
      </c>
      <c r="K402" s="189">
        <f t="shared" ref="K402:K413" si="57">ROUND(G402*J402,2)</f>
        <v>1124397.58</v>
      </c>
      <c r="L402" s="189"/>
      <c r="M402" s="138"/>
      <c r="N402" s="138"/>
      <c r="O402" s="138"/>
      <c r="S402" s="72"/>
      <c r="T402" s="72"/>
      <c r="U402" s="72"/>
      <c r="V402" s="72"/>
    </row>
    <row r="403" spans="1:22" s="63" customFormat="1" ht="22.5" x14ac:dyDescent="0.25">
      <c r="A403" s="84">
        <v>2.113</v>
      </c>
      <c r="B403" s="81" t="s">
        <v>40</v>
      </c>
      <c r="C403" s="82">
        <v>62</v>
      </c>
      <c r="D403" s="131" t="s">
        <v>377</v>
      </c>
      <c r="E403" s="83" t="s">
        <v>378</v>
      </c>
      <c r="F403" s="81" t="s">
        <v>207</v>
      </c>
      <c r="G403" s="84">
        <v>7.4820000000000002</v>
      </c>
      <c r="H403" s="85"/>
      <c r="I403" s="86">
        <v>236766.45</v>
      </c>
      <c r="J403" s="185">
        <f t="shared" si="56"/>
        <v>36030.78</v>
      </c>
      <c r="K403" s="189">
        <f t="shared" si="57"/>
        <v>269582.3</v>
      </c>
      <c r="L403" s="189"/>
      <c r="M403" s="138"/>
      <c r="N403" s="138"/>
      <c r="O403" s="138"/>
      <c r="S403" s="72"/>
      <c r="T403" s="72"/>
      <c r="U403" s="72"/>
      <c r="V403" s="72"/>
    </row>
    <row r="404" spans="1:22" s="63" customFormat="1" ht="22.5" x14ac:dyDescent="0.25">
      <c r="A404" s="84">
        <v>2.1139999999999999</v>
      </c>
      <c r="B404" s="81" t="s">
        <v>40</v>
      </c>
      <c r="C404" s="80">
        <v>62.1</v>
      </c>
      <c r="D404" s="131" t="s">
        <v>379</v>
      </c>
      <c r="E404" s="83" t="s">
        <v>380</v>
      </c>
      <c r="F404" s="81" t="s">
        <v>205</v>
      </c>
      <c r="G404" s="84">
        <v>19.265000000000001</v>
      </c>
      <c r="H404" s="85"/>
      <c r="I404" s="86">
        <v>155714.26</v>
      </c>
      <c r="J404" s="185">
        <f t="shared" si="56"/>
        <v>9203.02</v>
      </c>
      <c r="K404" s="189">
        <f t="shared" si="57"/>
        <v>177296.18</v>
      </c>
      <c r="L404" s="189"/>
      <c r="M404" s="138"/>
      <c r="N404" s="138"/>
      <c r="O404" s="138"/>
      <c r="S404" s="72"/>
      <c r="T404" s="72"/>
      <c r="U404" s="72"/>
      <c r="V404" s="72"/>
    </row>
    <row r="405" spans="1:22" s="63" customFormat="1" ht="15" x14ac:dyDescent="0.25">
      <c r="A405" s="84">
        <v>2.1150000000000002</v>
      </c>
      <c r="B405" s="81" t="s">
        <v>40</v>
      </c>
      <c r="C405" s="82">
        <v>63</v>
      </c>
      <c r="D405" s="131" t="s">
        <v>381</v>
      </c>
      <c r="E405" s="83" t="s">
        <v>382</v>
      </c>
      <c r="F405" s="81" t="s">
        <v>207</v>
      </c>
      <c r="G405" s="84">
        <v>7.4820000000000002</v>
      </c>
      <c r="H405" s="85"/>
      <c r="I405" s="86">
        <v>285155.84000000003</v>
      </c>
      <c r="J405" s="185">
        <f t="shared" si="56"/>
        <v>43394.61</v>
      </c>
      <c r="K405" s="189">
        <f t="shared" si="57"/>
        <v>324678.46999999997</v>
      </c>
      <c r="L405" s="189"/>
      <c r="M405" s="138"/>
      <c r="N405" s="138"/>
      <c r="O405" s="138"/>
      <c r="S405" s="72"/>
      <c r="T405" s="72"/>
      <c r="U405" s="72"/>
      <c r="V405" s="72"/>
    </row>
    <row r="406" spans="1:22" s="63" customFormat="1" ht="22.5" x14ac:dyDescent="0.25">
      <c r="A406" s="84">
        <v>2.1160000000000001</v>
      </c>
      <c r="B406" s="81" t="s">
        <v>40</v>
      </c>
      <c r="C406" s="80">
        <v>63.1</v>
      </c>
      <c r="D406" s="131" t="s">
        <v>383</v>
      </c>
      <c r="E406" s="83" t="s">
        <v>384</v>
      </c>
      <c r="F406" s="81" t="s">
        <v>205</v>
      </c>
      <c r="G406" s="87">
        <v>15.26</v>
      </c>
      <c r="H406" s="85"/>
      <c r="I406" s="86">
        <v>114082.16</v>
      </c>
      <c r="J406" s="185">
        <f t="shared" si="56"/>
        <v>8512.0499999999993</v>
      </c>
      <c r="K406" s="189">
        <f t="shared" si="57"/>
        <v>129893.88</v>
      </c>
      <c r="L406" s="189"/>
      <c r="M406" s="138"/>
      <c r="N406" s="138"/>
      <c r="O406" s="138"/>
      <c r="S406" s="72"/>
      <c r="T406" s="72"/>
      <c r="U406" s="72"/>
      <c r="V406" s="72"/>
    </row>
    <row r="407" spans="1:22" s="63" customFormat="1" ht="22.5" x14ac:dyDescent="0.25">
      <c r="A407" s="84">
        <v>2.117</v>
      </c>
      <c r="B407" s="81" t="s">
        <v>40</v>
      </c>
      <c r="C407" s="82">
        <v>64</v>
      </c>
      <c r="D407" s="131" t="s">
        <v>385</v>
      </c>
      <c r="E407" s="83" t="s">
        <v>3442</v>
      </c>
      <c r="F407" s="81" t="s">
        <v>207</v>
      </c>
      <c r="G407" s="84">
        <v>7.4820000000000002</v>
      </c>
      <c r="H407" s="85"/>
      <c r="I407" s="86">
        <v>23049.37</v>
      </c>
      <c r="J407" s="185">
        <f t="shared" si="56"/>
        <v>3507.62</v>
      </c>
      <c r="K407" s="189">
        <f t="shared" si="57"/>
        <v>26244.01</v>
      </c>
      <c r="L407" s="189"/>
      <c r="M407" s="138"/>
      <c r="N407" s="138"/>
      <c r="O407" s="138"/>
      <c r="S407" s="72"/>
      <c r="T407" s="72"/>
      <c r="U407" s="72"/>
      <c r="V407" s="72"/>
    </row>
    <row r="408" spans="1:22" s="63" customFormat="1" ht="22.5" x14ac:dyDescent="0.25">
      <c r="A408" s="84">
        <v>2.1179999999999999</v>
      </c>
      <c r="B408" s="81" t="s">
        <v>40</v>
      </c>
      <c r="C408" s="80">
        <v>64.099999999999994</v>
      </c>
      <c r="D408" s="131" t="s">
        <v>383</v>
      </c>
      <c r="E408" s="83" t="s">
        <v>384</v>
      </c>
      <c r="F408" s="81" t="s">
        <v>205</v>
      </c>
      <c r="G408" s="87">
        <v>15.26</v>
      </c>
      <c r="H408" s="85"/>
      <c r="I408" s="86">
        <v>114082.16</v>
      </c>
      <c r="J408" s="185">
        <f t="shared" si="56"/>
        <v>8512.0499999999993</v>
      </c>
      <c r="K408" s="189">
        <f t="shared" si="57"/>
        <v>129893.88</v>
      </c>
      <c r="L408" s="189"/>
      <c r="M408" s="138"/>
      <c r="N408" s="138"/>
      <c r="O408" s="138"/>
      <c r="S408" s="72"/>
      <c r="T408" s="72"/>
      <c r="U408" s="72"/>
      <c r="V408" s="72"/>
    </row>
    <row r="409" spans="1:22" s="63" customFormat="1" ht="15" x14ac:dyDescent="0.25">
      <c r="A409" s="84">
        <v>2.1190000000000002</v>
      </c>
      <c r="B409" s="81" t="s">
        <v>40</v>
      </c>
      <c r="C409" s="82">
        <v>65</v>
      </c>
      <c r="D409" s="131" t="s">
        <v>387</v>
      </c>
      <c r="E409" s="83" t="s">
        <v>388</v>
      </c>
      <c r="F409" s="81" t="s">
        <v>226</v>
      </c>
      <c r="G409" s="90">
        <v>1.3766879999999999</v>
      </c>
      <c r="H409" s="85"/>
      <c r="I409" s="86">
        <v>20980.81</v>
      </c>
      <c r="J409" s="185">
        <f t="shared" si="56"/>
        <v>17352.330000000002</v>
      </c>
      <c r="K409" s="189">
        <f t="shared" si="57"/>
        <v>23888.74</v>
      </c>
      <c r="L409" s="189"/>
      <c r="M409" s="138"/>
      <c r="N409" s="138"/>
      <c r="O409" s="138"/>
      <c r="S409" s="72"/>
      <c r="T409" s="72"/>
      <c r="U409" s="72"/>
      <c r="V409" s="72"/>
    </row>
    <row r="410" spans="1:22" s="63" customFormat="1" ht="22.5" x14ac:dyDescent="0.25">
      <c r="A410" s="84">
        <v>2.12</v>
      </c>
      <c r="B410" s="81" t="s">
        <v>40</v>
      </c>
      <c r="C410" s="80">
        <v>65.099999999999994</v>
      </c>
      <c r="D410" s="131" t="s">
        <v>389</v>
      </c>
      <c r="E410" s="83" t="s">
        <v>390</v>
      </c>
      <c r="F410" s="81" t="s">
        <v>370</v>
      </c>
      <c r="G410" s="80">
        <v>748.2</v>
      </c>
      <c r="H410" s="85"/>
      <c r="I410" s="86">
        <v>93414.85</v>
      </c>
      <c r="J410" s="185">
        <f t="shared" si="56"/>
        <v>142.16</v>
      </c>
      <c r="K410" s="189">
        <f t="shared" si="57"/>
        <v>106364.11</v>
      </c>
      <c r="L410" s="189"/>
      <c r="M410" s="138"/>
      <c r="N410" s="138"/>
      <c r="O410" s="138"/>
      <c r="S410" s="72"/>
      <c r="T410" s="72"/>
      <c r="U410" s="72"/>
      <c r="V410" s="72"/>
    </row>
    <row r="411" spans="1:22" s="63" customFormat="1" ht="15" x14ac:dyDescent="0.25">
      <c r="A411" s="84">
        <v>2.121</v>
      </c>
      <c r="B411" s="81" t="s">
        <v>40</v>
      </c>
      <c r="C411" s="82">
        <v>66</v>
      </c>
      <c r="D411" s="131" t="s">
        <v>414</v>
      </c>
      <c r="E411" s="83" t="s">
        <v>415</v>
      </c>
      <c r="F411" s="81" t="s">
        <v>207</v>
      </c>
      <c r="G411" s="84">
        <v>7.4820000000000002</v>
      </c>
      <c r="H411" s="85"/>
      <c r="I411" s="86">
        <v>315560.71999999997</v>
      </c>
      <c r="J411" s="185">
        <f t="shared" si="56"/>
        <v>48021.58</v>
      </c>
      <c r="K411" s="189">
        <f t="shared" si="57"/>
        <v>359297.46</v>
      </c>
      <c r="L411" s="189"/>
      <c r="M411" s="138"/>
      <c r="N411" s="138"/>
      <c r="O411" s="138"/>
      <c r="S411" s="72"/>
      <c r="T411" s="72"/>
      <c r="U411" s="72"/>
      <c r="V411" s="72"/>
    </row>
    <row r="412" spans="1:22" s="63" customFormat="1" ht="33.75" x14ac:dyDescent="0.25">
      <c r="A412" s="84">
        <v>2.1219999999999999</v>
      </c>
      <c r="B412" s="81" t="s">
        <v>40</v>
      </c>
      <c r="C412" s="80">
        <v>66.099999999999994</v>
      </c>
      <c r="D412" s="131" t="s">
        <v>416</v>
      </c>
      <c r="E412" s="83" t="s">
        <v>417</v>
      </c>
      <c r="F412" s="81" t="s">
        <v>370</v>
      </c>
      <c r="G412" s="80">
        <v>763.2</v>
      </c>
      <c r="H412" s="85"/>
      <c r="I412" s="86">
        <v>2032825.94</v>
      </c>
      <c r="J412" s="185">
        <f t="shared" si="56"/>
        <v>3032.72</v>
      </c>
      <c r="K412" s="189">
        <f t="shared" si="57"/>
        <v>2314571.9</v>
      </c>
      <c r="L412" s="189"/>
      <c r="M412" s="138"/>
      <c r="N412" s="138"/>
      <c r="O412" s="138"/>
      <c r="S412" s="72"/>
      <c r="T412" s="72"/>
      <c r="U412" s="72"/>
      <c r="V412" s="72"/>
    </row>
    <row r="413" spans="1:22" s="63" customFormat="1" ht="22.5" x14ac:dyDescent="0.25">
      <c r="A413" s="84">
        <v>2.1230000000000002</v>
      </c>
      <c r="B413" s="81" t="s">
        <v>40</v>
      </c>
      <c r="C413" s="80">
        <v>66.2</v>
      </c>
      <c r="D413" s="131" t="s">
        <v>418</v>
      </c>
      <c r="E413" s="83" t="s">
        <v>419</v>
      </c>
      <c r="F413" s="81" t="s">
        <v>210</v>
      </c>
      <c r="G413" s="80">
        <v>374.1</v>
      </c>
      <c r="H413" s="85"/>
      <c r="I413" s="86">
        <v>84910.56</v>
      </c>
      <c r="J413" s="185">
        <f t="shared" si="56"/>
        <v>258.43</v>
      </c>
      <c r="K413" s="189">
        <f t="shared" si="57"/>
        <v>96678.66</v>
      </c>
      <c r="L413" s="189"/>
      <c r="M413" s="138"/>
      <c r="N413" s="138"/>
      <c r="O413" s="138"/>
      <c r="S413" s="72"/>
      <c r="T413" s="72"/>
      <c r="U413" s="72"/>
      <c r="V413" s="72"/>
    </row>
    <row r="414" spans="1:22" s="128" customFormat="1" ht="12.75" x14ac:dyDescent="0.25">
      <c r="A414" s="242"/>
      <c r="B414" s="125"/>
      <c r="C414" s="236"/>
      <c r="D414" s="77"/>
      <c r="E414" s="126" t="s">
        <v>3246</v>
      </c>
      <c r="F414" s="125"/>
      <c r="G414" s="236"/>
      <c r="H414" s="127"/>
      <c r="I414" s="78"/>
      <c r="J414" s="238"/>
      <c r="K414" s="239"/>
      <c r="L414" s="239"/>
      <c r="M414" s="79"/>
      <c r="N414" s="79"/>
      <c r="O414" s="79"/>
      <c r="S414" s="129"/>
      <c r="T414" s="129"/>
      <c r="U414" s="129"/>
      <c r="V414" s="129"/>
    </row>
    <row r="415" spans="1:22" s="63" customFormat="1" ht="15" x14ac:dyDescent="0.25">
      <c r="A415" s="84">
        <v>2.1240000000000001</v>
      </c>
      <c r="B415" s="81" t="s">
        <v>40</v>
      </c>
      <c r="C415" s="82">
        <v>67</v>
      </c>
      <c r="D415" s="131" t="s">
        <v>423</v>
      </c>
      <c r="E415" s="83" t="s">
        <v>424</v>
      </c>
      <c r="F415" s="81" t="s">
        <v>354</v>
      </c>
      <c r="G415" s="84">
        <v>9.0960000000000001</v>
      </c>
      <c r="H415" s="85"/>
      <c r="I415" s="86">
        <v>67717.31</v>
      </c>
      <c r="J415" s="185">
        <f t="shared" ref="J415:J424" si="58">ROUND($I415/$G415*$N$11,2)</f>
        <v>8476.58</v>
      </c>
      <c r="K415" s="189">
        <f t="shared" ref="K415:K424" si="59">ROUND(G415*J415,2)</f>
        <v>77102.97</v>
      </c>
      <c r="L415" s="189"/>
      <c r="M415" s="138"/>
      <c r="N415" s="138"/>
      <c r="O415" s="138"/>
      <c r="S415" s="72"/>
      <c r="T415" s="72"/>
      <c r="U415" s="72"/>
      <c r="V415" s="72"/>
    </row>
    <row r="416" spans="1:22" s="63" customFormat="1" ht="22.5" x14ac:dyDescent="0.25">
      <c r="A416" s="84">
        <v>2.125</v>
      </c>
      <c r="B416" s="81" t="s">
        <v>40</v>
      </c>
      <c r="C416" s="80">
        <v>67.099999999999994</v>
      </c>
      <c r="D416" s="131" t="s">
        <v>425</v>
      </c>
      <c r="E416" s="83" t="s">
        <v>426</v>
      </c>
      <c r="F416" s="81" t="s">
        <v>334</v>
      </c>
      <c r="G416" s="84">
        <v>918.69600000000003</v>
      </c>
      <c r="H416" s="85"/>
      <c r="I416" s="86">
        <v>53190.31</v>
      </c>
      <c r="J416" s="185">
        <f t="shared" si="58"/>
        <v>65.92</v>
      </c>
      <c r="K416" s="189">
        <f t="shared" si="59"/>
        <v>60560.44</v>
      </c>
      <c r="L416" s="189"/>
      <c r="M416" s="138"/>
      <c r="N416" s="138"/>
      <c r="O416" s="138"/>
      <c r="S416" s="72"/>
      <c r="T416" s="72"/>
      <c r="U416" s="72"/>
      <c r="V416" s="72"/>
    </row>
    <row r="417" spans="1:22" s="63" customFormat="1" ht="22.5" x14ac:dyDescent="0.25">
      <c r="A417" s="84">
        <v>2.1259999999999999</v>
      </c>
      <c r="B417" s="81" t="s">
        <v>40</v>
      </c>
      <c r="C417" s="80">
        <v>67.2</v>
      </c>
      <c r="D417" s="131" t="s">
        <v>427</v>
      </c>
      <c r="E417" s="83" t="s">
        <v>428</v>
      </c>
      <c r="F417" s="81" t="s">
        <v>216</v>
      </c>
      <c r="G417" s="89">
        <v>0.72767999999999999</v>
      </c>
      <c r="H417" s="85"/>
      <c r="I417" s="86">
        <v>969.25</v>
      </c>
      <c r="J417" s="185">
        <f t="shared" si="58"/>
        <v>1516.58</v>
      </c>
      <c r="K417" s="189">
        <f t="shared" si="59"/>
        <v>1103.58</v>
      </c>
      <c r="L417" s="189"/>
      <c r="M417" s="138"/>
      <c r="N417" s="138"/>
      <c r="O417" s="138"/>
      <c r="S417" s="72"/>
      <c r="T417" s="72"/>
      <c r="U417" s="72"/>
      <c r="V417" s="72"/>
    </row>
    <row r="418" spans="1:22" s="63" customFormat="1" ht="22.5" x14ac:dyDescent="0.25">
      <c r="A418" s="84">
        <v>2.1269999999999998</v>
      </c>
      <c r="B418" s="81" t="s">
        <v>40</v>
      </c>
      <c r="C418" s="80">
        <v>67.3</v>
      </c>
      <c r="D418" s="131" t="s">
        <v>429</v>
      </c>
      <c r="E418" s="83" t="s">
        <v>430</v>
      </c>
      <c r="F418" s="81" t="s">
        <v>216</v>
      </c>
      <c r="G418" s="89">
        <v>0.72767999999999999</v>
      </c>
      <c r="H418" s="85"/>
      <c r="I418" s="86">
        <v>969.25</v>
      </c>
      <c r="J418" s="185">
        <f t="shared" si="58"/>
        <v>1516.58</v>
      </c>
      <c r="K418" s="189">
        <f t="shared" si="59"/>
        <v>1103.58</v>
      </c>
      <c r="L418" s="189"/>
      <c r="M418" s="138"/>
      <c r="N418" s="138"/>
      <c r="O418" s="138"/>
      <c r="S418" s="72"/>
      <c r="T418" s="72"/>
      <c r="U418" s="72"/>
      <c r="V418" s="72"/>
    </row>
    <row r="419" spans="1:22" s="63" customFormat="1" ht="22.5" x14ac:dyDescent="0.25">
      <c r="A419" s="84">
        <v>2.1280000000000001</v>
      </c>
      <c r="B419" s="81" t="s">
        <v>40</v>
      </c>
      <c r="C419" s="80">
        <v>67.400000000000006</v>
      </c>
      <c r="D419" s="131" t="s">
        <v>431</v>
      </c>
      <c r="E419" s="83" t="s">
        <v>432</v>
      </c>
      <c r="F419" s="81" t="s">
        <v>216</v>
      </c>
      <c r="G419" s="88">
        <v>3.6383999999999999</v>
      </c>
      <c r="H419" s="85"/>
      <c r="I419" s="86">
        <v>7818.75</v>
      </c>
      <c r="J419" s="185">
        <f t="shared" si="58"/>
        <v>2446.8000000000002</v>
      </c>
      <c r="K419" s="189">
        <f t="shared" si="59"/>
        <v>8902.44</v>
      </c>
      <c r="L419" s="189"/>
      <c r="M419" s="138"/>
      <c r="N419" s="138"/>
      <c r="O419" s="138"/>
      <c r="S419" s="72"/>
      <c r="T419" s="72"/>
      <c r="U419" s="72"/>
      <c r="V419" s="72"/>
    </row>
    <row r="420" spans="1:22" s="63" customFormat="1" ht="22.5" x14ac:dyDescent="0.25">
      <c r="A420" s="84">
        <v>2.129</v>
      </c>
      <c r="B420" s="81" t="s">
        <v>40</v>
      </c>
      <c r="C420" s="80">
        <v>67.5</v>
      </c>
      <c r="D420" s="131" t="s">
        <v>433</v>
      </c>
      <c r="E420" s="83" t="s">
        <v>434</v>
      </c>
      <c r="F420" s="81" t="s">
        <v>216</v>
      </c>
      <c r="G420" s="89">
        <v>0.63671999999999995</v>
      </c>
      <c r="H420" s="85"/>
      <c r="I420" s="86">
        <v>1560.48</v>
      </c>
      <c r="J420" s="185">
        <f t="shared" si="58"/>
        <v>2790.49</v>
      </c>
      <c r="K420" s="189">
        <f t="shared" si="59"/>
        <v>1776.76</v>
      </c>
      <c r="L420" s="189"/>
      <c r="M420" s="138"/>
      <c r="N420" s="138"/>
      <c r="O420" s="138"/>
      <c r="S420" s="72"/>
      <c r="T420" s="72"/>
      <c r="U420" s="72"/>
      <c r="V420" s="72"/>
    </row>
    <row r="421" spans="1:22" s="63" customFormat="1" ht="22.5" x14ac:dyDescent="0.25">
      <c r="A421" s="84">
        <v>2.13</v>
      </c>
      <c r="B421" s="81" t="s">
        <v>40</v>
      </c>
      <c r="C421" s="80">
        <v>67.599999999999994</v>
      </c>
      <c r="D421" s="131" t="s">
        <v>435</v>
      </c>
      <c r="E421" s="83" t="s">
        <v>436</v>
      </c>
      <c r="F421" s="81" t="s">
        <v>216</v>
      </c>
      <c r="G421" s="89">
        <v>0.63671999999999995</v>
      </c>
      <c r="H421" s="85"/>
      <c r="I421" s="86">
        <v>1560.48</v>
      </c>
      <c r="J421" s="185">
        <f t="shared" si="58"/>
        <v>2790.49</v>
      </c>
      <c r="K421" s="189">
        <f t="shared" si="59"/>
        <v>1776.76</v>
      </c>
      <c r="L421" s="189"/>
      <c r="M421" s="138"/>
      <c r="N421" s="138"/>
      <c r="O421" s="138"/>
      <c r="S421" s="72"/>
      <c r="T421" s="72"/>
      <c r="U421" s="72"/>
      <c r="V421" s="72"/>
    </row>
    <row r="422" spans="1:22" s="63" customFormat="1" ht="22.5" x14ac:dyDescent="0.25">
      <c r="A422" s="84">
        <v>2.1309999999999998</v>
      </c>
      <c r="B422" s="81" t="s">
        <v>40</v>
      </c>
      <c r="C422" s="82">
        <v>68</v>
      </c>
      <c r="D422" s="131" t="s">
        <v>437</v>
      </c>
      <c r="E422" s="83" t="s">
        <v>438</v>
      </c>
      <c r="F422" s="81" t="s">
        <v>354</v>
      </c>
      <c r="G422" s="84">
        <v>7.4390000000000001</v>
      </c>
      <c r="H422" s="85"/>
      <c r="I422" s="86">
        <v>195799.79</v>
      </c>
      <c r="J422" s="185">
        <f t="shared" si="58"/>
        <v>29968.76</v>
      </c>
      <c r="K422" s="189">
        <f t="shared" si="59"/>
        <v>222937.61</v>
      </c>
      <c r="L422" s="189"/>
      <c r="M422" s="138"/>
      <c r="N422" s="138"/>
      <c r="O422" s="138"/>
      <c r="S422" s="72"/>
      <c r="T422" s="72"/>
      <c r="U422" s="72"/>
      <c r="V422" s="72"/>
    </row>
    <row r="423" spans="1:22" s="63" customFormat="1" ht="22.5" x14ac:dyDescent="0.25">
      <c r="A423" s="84">
        <v>2.1320000000000001</v>
      </c>
      <c r="B423" s="81" t="s">
        <v>40</v>
      </c>
      <c r="C423" s="80">
        <v>68.099999999999994</v>
      </c>
      <c r="D423" s="131" t="s">
        <v>439</v>
      </c>
      <c r="E423" s="83" t="s">
        <v>440</v>
      </c>
      <c r="F423" s="81" t="s">
        <v>210</v>
      </c>
      <c r="G423" s="87">
        <v>297.56</v>
      </c>
      <c r="H423" s="85"/>
      <c r="I423" s="86">
        <v>5152.53</v>
      </c>
      <c r="J423" s="185">
        <f t="shared" si="58"/>
        <v>19.72</v>
      </c>
      <c r="K423" s="189">
        <f t="shared" si="59"/>
        <v>5867.88</v>
      </c>
      <c r="L423" s="189"/>
      <c r="M423" s="138"/>
      <c r="N423" s="138"/>
      <c r="O423" s="138"/>
      <c r="S423" s="72"/>
      <c r="T423" s="72"/>
      <c r="U423" s="72"/>
      <c r="V423" s="72"/>
    </row>
    <row r="424" spans="1:22" s="63" customFormat="1" ht="22.5" x14ac:dyDescent="0.25">
      <c r="A424" s="84">
        <v>2.133</v>
      </c>
      <c r="B424" s="81" t="s">
        <v>40</v>
      </c>
      <c r="C424" s="80">
        <v>68.2</v>
      </c>
      <c r="D424" s="131" t="s">
        <v>441</v>
      </c>
      <c r="E424" s="83" t="s">
        <v>442</v>
      </c>
      <c r="F424" s="81" t="s">
        <v>334</v>
      </c>
      <c r="G424" s="84">
        <v>751.33900000000006</v>
      </c>
      <c r="H424" s="85"/>
      <c r="I424" s="86">
        <v>365152.53</v>
      </c>
      <c r="J424" s="185">
        <f t="shared" si="58"/>
        <v>553.36</v>
      </c>
      <c r="K424" s="189">
        <f t="shared" si="59"/>
        <v>415760.95</v>
      </c>
      <c r="L424" s="189"/>
      <c r="M424" s="138"/>
      <c r="N424" s="138"/>
      <c r="O424" s="138"/>
      <c r="S424" s="72"/>
      <c r="T424" s="72"/>
      <c r="U424" s="72"/>
      <c r="V424" s="72"/>
    </row>
    <row r="425" spans="1:22" s="63" customFormat="1" ht="15" x14ac:dyDescent="0.25">
      <c r="A425" s="194">
        <v>3</v>
      </c>
      <c r="B425" s="418" t="s">
        <v>443</v>
      </c>
      <c r="C425" s="418"/>
      <c r="D425" s="418"/>
      <c r="E425" s="195" t="s">
        <v>43</v>
      </c>
      <c r="F425" s="196"/>
      <c r="G425" s="194">
        <v>1</v>
      </c>
      <c r="H425" s="197">
        <v>6762264.21</v>
      </c>
      <c r="I425" s="355">
        <f>SUM(I428:I459)</f>
        <v>6762264.2100000009</v>
      </c>
      <c r="J425" s="200"/>
      <c r="K425" s="198">
        <f>SUM(K428:K459)</f>
        <v>7699513.4800000004</v>
      </c>
      <c r="L425" s="198"/>
      <c r="M425" s="207"/>
      <c r="N425" s="209"/>
      <c r="O425" s="138"/>
      <c r="S425" s="72"/>
      <c r="T425" s="72"/>
      <c r="U425" s="72"/>
      <c r="V425" s="72"/>
    </row>
    <row r="426" spans="1:22" s="63" customFormat="1" ht="15" x14ac:dyDescent="0.25">
      <c r="A426" s="216"/>
      <c r="B426" s="217"/>
      <c r="C426" s="217"/>
      <c r="D426" s="217"/>
      <c r="E426" s="218" t="s">
        <v>3247</v>
      </c>
      <c r="F426" s="219"/>
      <c r="G426" s="216"/>
      <c r="H426" s="220"/>
      <c r="I426" s="221"/>
      <c r="J426" s="244"/>
      <c r="K426" s="221"/>
      <c r="L426" s="221"/>
      <c r="M426" s="207"/>
      <c r="N426" s="209"/>
      <c r="O426" s="138"/>
      <c r="S426" s="72"/>
      <c r="T426" s="72"/>
      <c r="U426" s="72"/>
      <c r="V426" s="72"/>
    </row>
    <row r="427" spans="1:22" s="63" customFormat="1" ht="15" x14ac:dyDescent="0.25">
      <c r="A427" s="216"/>
      <c r="B427" s="217"/>
      <c r="C427" s="217"/>
      <c r="D427" s="217"/>
      <c r="E427" s="218" t="s">
        <v>3248</v>
      </c>
      <c r="F427" s="219"/>
      <c r="G427" s="216"/>
      <c r="H427" s="220"/>
      <c r="I427" s="221"/>
      <c r="J427" s="244"/>
      <c r="K427" s="221"/>
      <c r="L427" s="221"/>
      <c r="M427" s="207"/>
      <c r="N427" s="209"/>
      <c r="O427" s="138"/>
      <c r="S427" s="72"/>
      <c r="T427" s="72"/>
      <c r="U427" s="72"/>
      <c r="V427" s="72"/>
    </row>
    <row r="428" spans="1:22" s="63" customFormat="1" ht="33.75" x14ac:dyDescent="0.25">
      <c r="A428" s="80">
        <v>3.1</v>
      </c>
      <c r="B428" s="81" t="s">
        <v>42</v>
      </c>
      <c r="C428" s="82">
        <v>1</v>
      </c>
      <c r="D428" s="131" t="s">
        <v>444</v>
      </c>
      <c r="E428" s="83" t="s">
        <v>445</v>
      </c>
      <c r="F428" s="81" t="s">
        <v>207</v>
      </c>
      <c r="G428" s="89">
        <v>0.24046000000000001</v>
      </c>
      <c r="H428" s="85"/>
      <c r="I428" s="86">
        <v>46816.52</v>
      </c>
      <c r="J428" s="185">
        <f t="shared" ref="J428:J434" si="60">ROUND($I428/$G428*$N$11,2)</f>
        <v>221680.49</v>
      </c>
      <c r="K428" s="189">
        <f t="shared" ref="K428:K434" si="61">ROUND(G428*J428,2)</f>
        <v>53305.29</v>
      </c>
      <c r="L428" s="189"/>
      <c r="M428" s="138"/>
      <c r="N428" s="138"/>
      <c r="O428" s="138"/>
      <c r="S428" s="72"/>
      <c r="T428" s="72"/>
      <c r="U428" s="72"/>
      <c r="V428" s="72"/>
    </row>
    <row r="429" spans="1:22" s="63" customFormat="1" ht="33.75" x14ac:dyDescent="0.25">
      <c r="A429" s="80">
        <v>3.2</v>
      </c>
      <c r="B429" s="81" t="s">
        <v>42</v>
      </c>
      <c r="C429" s="80">
        <v>1.1000000000000001</v>
      </c>
      <c r="D429" s="131" t="s">
        <v>446</v>
      </c>
      <c r="E429" s="83" t="s">
        <v>447</v>
      </c>
      <c r="F429" s="81" t="s">
        <v>370</v>
      </c>
      <c r="G429" s="84">
        <v>21.646000000000001</v>
      </c>
      <c r="H429" s="85"/>
      <c r="I429" s="86">
        <v>398730.03</v>
      </c>
      <c r="J429" s="185">
        <f t="shared" si="60"/>
        <v>20973.58</v>
      </c>
      <c r="K429" s="189">
        <f t="shared" si="61"/>
        <v>453994.11</v>
      </c>
      <c r="L429" s="189"/>
      <c r="M429" s="138"/>
      <c r="N429" s="138"/>
      <c r="O429" s="138"/>
      <c r="S429" s="72"/>
      <c r="T429" s="72"/>
      <c r="U429" s="72"/>
      <c r="V429" s="72"/>
    </row>
    <row r="430" spans="1:22" s="63" customFormat="1" ht="22.5" x14ac:dyDescent="0.25">
      <c r="A430" s="80">
        <v>3.3</v>
      </c>
      <c r="B430" s="81" t="s">
        <v>42</v>
      </c>
      <c r="C430" s="80">
        <v>1.2</v>
      </c>
      <c r="D430" s="131" t="s">
        <v>448</v>
      </c>
      <c r="E430" s="83" t="s">
        <v>449</v>
      </c>
      <c r="F430" s="81" t="s">
        <v>370</v>
      </c>
      <c r="G430" s="80">
        <v>2.4</v>
      </c>
      <c r="H430" s="85"/>
      <c r="I430" s="86">
        <v>48693.04</v>
      </c>
      <c r="J430" s="185">
        <f t="shared" si="60"/>
        <v>23100.79</v>
      </c>
      <c r="K430" s="189">
        <f t="shared" si="61"/>
        <v>55441.9</v>
      </c>
      <c r="L430" s="189"/>
      <c r="M430" s="138"/>
      <c r="N430" s="138"/>
      <c r="O430" s="138"/>
      <c r="S430" s="72"/>
      <c r="T430" s="72"/>
      <c r="U430" s="72"/>
      <c r="V430" s="72"/>
    </row>
    <row r="431" spans="1:22" s="63" customFormat="1" ht="33.75" x14ac:dyDescent="0.25">
      <c r="A431" s="80">
        <v>3.4</v>
      </c>
      <c r="B431" s="81" t="s">
        <v>42</v>
      </c>
      <c r="C431" s="82">
        <v>2</v>
      </c>
      <c r="D431" s="131" t="s">
        <v>450</v>
      </c>
      <c r="E431" s="83" t="s">
        <v>451</v>
      </c>
      <c r="F431" s="81" t="s">
        <v>207</v>
      </c>
      <c r="G431" s="89">
        <v>0.10242999999999999</v>
      </c>
      <c r="H431" s="85"/>
      <c r="I431" s="86">
        <v>25806.9</v>
      </c>
      <c r="J431" s="185">
        <f t="shared" si="60"/>
        <v>286866.51</v>
      </c>
      <c r="K431" s="189">
        <f t="shared" si="61"/>
        <v>29383.74</v>
      </c>
      <c r="L431" s="189"/>
      <c r="M431" s="138"/>
      <c r="N431" s="138"/>
      <c r="O431" s="138"/>
      <c r="S431" s="72"/>
      <c r="T431" s="72"/>
      <c r="U431" s="72"/>
      <c r="V431" s="72"/>
    </row>
    <row r="432" spans="1:22" s="63" customFormat="1" ht="33.75" x14ac:dyDescent="0.25">
      <c r="A432" s="80">
        <v>3.5</v>
      </c>
      <c r="B432" s="81" t="s">
        <v>42</v>
      </c>
      <c r="C432" s="80">
        <v>2.1</v>
      </c>
      <c r="D432" s="131" t="s">
        <v>452</v>
      </c>
      <c r="E432" s="83" t="s">
        <v>453</v>
      </c>
      <c r="F432" s="81" t="s">
        <v>370</v>
      </c>
      <c r="G432" s="84">
        <v>10.243</v>
      </c>
      <c r="H432" s="85"/>
      <c r="I432" s="86">
        <v>296411.56</v>
      </c>
      <c r="J432" s="185">
        <f t="shared" si="60"/>
        <v>32948.769999999997</v>
      </c>
      <c r="K432" s="189">
        <f t="shared" si="61"/>
        <v>337494.25</v>
      </c>
      <c r="L432" s="189"/>
      <c r="M432" s="138"/>
      <c r="N432" s="138"/>
      <c r="O432" s="138"/>
      <c r="S432" s="72"/>
      <c r="T432" s="72"/>
      <c r="U432" s="72"/>
      <c r="V432" s="72"/>
    </row>
    <row r="433" spans="1:22" s="63" customFormat="1" ht="33.75" x14ac:dyDescent="0.25">
      <c r="A433" s="80">
        <v>3.6</v>
      </c>
      <c r="B433" s="81" t="s">
        <v>42</v>
      </c>
      <c r="C433" s="82">
        <v>3</v>
      </c>
      <c r="D433" s="131" t="s">
        <v>454</v>
      </c>
      <c r="E433" s="83" t="s">
        <v>455</v>
      </c>
      <c r="F433" s="81" t="s">
        <v>207</v>
      </c>
      <c r="G433" s="89">
        <v>1.9599999999999999E-3</v>
      </c>
      <c r="H433" s="85"/>
      <c r="I433" s="86">
        <v>573.89</v>
      </c>
      <c r="J433" s="185">
        <f t="shared" si="60"/>
        <v>333383.24</v>
      </c>
      <c r="K433" s="189">
        <f t="shared" si="61"/>
        <v>653.42999999999995</v>
      </c>
      <c r="L433" s="189"/>
      <c r="M433" s="138"/>
      <c r="N433" s="138"/>
      <c r="O433" s="138"/>
      <c r="S433" s="72"/>
      <c r="T433" s="72"/>
      <c r="U433" s="72"/>
      <c r="V433" s="72"/>
    </row>
    <row r="434" spans="1:22" s="63" customFormat="1" ht="22.5" x14ac:dyDescent="0.25">
      <c r="A434" s="80">
        <v>3.7</v>
      </c>
      <c r="B434" s="81" t="s">
        <v>42</v>
      </c>
      <c r="C434" s="80">
        <v>3.1</v>
      </c>
      <c r="D434" s="131" t="s">
        <v>456</v>
      </c>
      <c r="E434" s="83" t="s">
        <v>457</v>
      </c>
      <c r="F434" s="81" t="s">
        <v>370</v>
      </c>
      <c r="G434" s="84">
        <v>0.19600000000000001</v>
      </c>
      <c r="H434" s="85"/>
      <c r="I434" s="86">
        <v>6039.55</v>
      </c>
      <c r="J434" s="185">
        <f t="shared" si="60"/>
        <v>35084.86</v>
      </c>
      <c r="K434" s="189">
        <f t="shared" si="61"/>
        <v>6876.63</v>
      </c>
      <c r="L434" s="189"/>
      <c r="M434" s="138"/>
      <c r="N434" s="138"/>
      <c r="O434" s="138"/>
      <c r="S434" s="72"/>
      <c r="T434" s="72"/>
      <c r="U434" s="72"/>
      <c r="V434" s="72"/>
    </row>
    <row r="435" spans="1:22" s="128" customFormat="1" ht="12.75" x14ac:dyDescent="0.25">
      <c r="A435" s="236"/>
      <c r="B435" s="125"/>
      <c r="C435" s="236"/>
      <c r="D435" s="77"/>
      <c r="E435" s="126" t="s">
        <v>3249</v>
      </c>
      <c r="F435" s="125"/>
      <c r="G435" s="242"/>
      <c r="H435" s="127"/>
      <c r="I435" s="78"/>
      <c r="J435" s="238"/>
      <c r="K435" s="239"/>
      <c r="L435" s="239"/>
      <c r="M435" s="79"/>
      <c r="N435" s="79"/>
      <c r="O435" s="79"/>
      <c r="S435" s="129"/>
      <c r="T435" s="129"/>
      <c r="U435" s="129"/>
      <c r="V435" s="129"/>
    </row>
    <row r="436" spans="1:22" s="63" customFormat="1" ht="22.5" x14ac:dyDescent="0.25">
      <c r="A436" s="80">
        <v>3.8</v>
      </c>
      <c r="B436" s="81" t="s">
        <v>42</v>
      </c>
      <c r="C436" s="82">
        <v>4</v>
      </c>
      <c r="D436" s="131" t="s">
        <v>458</v>
      </c>
      <c r="E436" s="83" t="s">
        <v>459</v>
      </c>
      <c r="F436" s="81" t="s">
        <v>207</v>
      </c>
      <c r="G436" s="88">
        <v>0.4904</v>
      </c>
      <c r="H436" s="85"/>
      <c r="I436" s="86">
        <v>30216.59</v>
      </c>
      <c r="J436" s="185">
        <f>ROUND($I436/$G436*$N$11,2)</f>
        <v>70156.22</v>
      </c>
      <c r="K436" s="189">
        <f>ROUND(G436*J436,2)</f>
        <v>34404.61</v>
      </c>
      <c r="L436" s="189"/>
      <c r="M436" s="138"/>
      <c r="N436" s="138"/>
      <c r="O436" s="138"/>
      <c r="S436" s="72"/>
      <c r="T436" s="72"/>
      <c r="U436" s="72"/>
      <c r="V436" s="72"/>
    </row>
    <row r="437" spans="1:22" s="63" customFormat="1" ht="33.75" x14ac:dyDescent="0.25">
      <c r="A437" s="80">
        <v>3.9</v>
      </c>
      <c r="B437" s="81" t="s">
        <v>42</v>
      </c>
      <c r="C437" s="80">
        <v>4.0999999999999996</v>
      </c>
      <c r="D437" s="131" t="s">
        <v>460</v>
      </c>
      <c r="E437" s="83" t="s">
        <v>461</v>
      </c>
      <c r="F437" s="81" t="s">
        <v>334</v>
      </c>
      <c r="G437" s="80">
        <v>122.6</v>
      </c>
      <c r="H437" s="85"/>
      <c r="I437" s="86">
        <v>98297.600000000006</v>
      </c>
      <c r="J437" s="185">
        <f>ROUND($I437/$G437*$N$11,2)</f>
        <v>912.9</v>
      </c>
      <c r="K437" s="189">
        <f>ROUND(G437*J437,2)</f>
        <v>111921.54</v>
      </c>
      <c r="L437" s="189"/>
      <c r="M437" s="138"/>
      <c r="N437" s="138"/>
      <c r="O437" s="138"/>
      <c r="S437" s="72"/>
      <c r="T437" s="72"/>
      <c r="U437" s="72"/>
      <c r="V437" s="72"/>
    </row>
    <row r="438" spans="1:22" s="128" customFormat="1" ht="12.75" x14ac:dyDescent="0.25">
      <c r="A438" s="236"/>
      <c r="B438" s="125"/>
      <c r="C438" s="236"/>
      <c r="D438" s="77"/>
      <c r="E438" s="126" t="s">
        <v>3250</v>
      </c>
      <c r="F438" s="125"/>
      <c r="G438" s="236"/>
      <c r="H438" s="127"/>
      <c r="I438" s="78"/>
      <c r="J438" s="238"/>
      <c r="K438" s="239"/>
      <c r="L438" s="239"/>
      <c r="M438" s="79"/>
      <c r="N438" s="79"/>
      <c r="O438" s="79"/>
      <c r="S438" s="129"/>
      <c r="T438" s="129"/>
      <c r="U438" s="129"/>
      <c r="V438" s="129"/>
    </row>
    <row r="439" spans="1:22" s="128" customFormat="1" ht="12.75" x14ac:dyDescent="0.25">
      <c r="A439" s="236"/>
      <c r="B439" s="125"/>
      <c r="C439" s="236"/>
      <c r="D439" s="77"/>
      <c r="E439" s="126" t="s">
        <v>3251</v>
      </c>
      <c r="F439" s="125"/>
      <c r="G439" s="236"/>
      <c r="H439" s="127"/>
      <c r="I439" s="78"/>
      <c r="J439" s="238"/>
      <c r="K439" s="239"/>
      <c r="L439" s="239"/>
      <c r="M439" s="79"/>
      <c r="N439" s="79"/>
      <c r="O439" s="79"/>
      <c r="S439" s="129"/>
      <c r="T439" s="129"/>
      <c r="U439" s="129"/>
      <c r="V439" s="129"/>
    </row>
    <row r="440" spans="1:22" s="63" customFormat="1" ht="22.5" x14ac:dyDescent="0.25">
      <c r="A440" s="87">
        <v>3.1</v>
      </c>
      <c r="B440" s="81" t="s">
        <v>42</v>
      </c>
      <c r="C440" s="82">
        <v>5</v>
      </c>
      <c r="D440" s="131" t="s">
        <v>462</v>
      </c>
      <c r="E440" s="83" t="s">
        <v>463</v>
      </c>
      <c r="F440" s="81" t="s">
        <v>207</v>
      </c>
      <c r="G440" s="88">
        <v>5.04E-2</v>
      </c>
      <c r="H440" s="85"/>
      <c r="I440" s="86">
        <v>8729.76</v>
      </c>
      <c r="J440" s="185">
        <f t="shared" ref="J440:J447" si="62">ROUND($I440/$G440*$N$11,2)</f>
        <v>197216.36</v>
      </c>
      <c r="K440" s="189">
        <f t="shared" ref="K440:K447" si="63">ROUND(G440*J440,2)</f>
        <v>9939.7000000000007</v>
      </c>
      <c r="L440" s="189"/>
      <c r="M440" s="138"/>
      <c r="N440" s="138"/>
      <c r="O440" s="138"/>
      <c r="S440" s="72"/>
      <c r="T440" s="72"/>
      <c r="U440" s="72"/>
      <c r="V440" s="72"/>
    </row>
    <row r="441" spans="1:22" s="63" customFormat="1" ht="33.75" x14ac:dyDescent="0.25">
      <c r="A441" s="87">
        <v>3.11</v>
      </c>
      <c r="B441" s="81" t="s">
        <v>42</v>
      </c>
      <c r="C441" s="80">
        <v>5.0999999999999996</v>
      </c>
      <c r="D441" s="131" t="s">
        <v>464</v>
      </c>
      <c r="E441" s="83" t="s">
        <v>465</v>
      </c>
      <c r="F441" s="81" t="s">
        <v>370</v>
      </c>
      <c r="G441" s="87">
        <v>5.04</v>
      </c>
      <c r="H441" s="85"/>
      <c r="I441" s="86">
        <v>62017.74</v>
      </c>
      <c r="J441" s="185">
        <f t="shared" si="62"/>
        <v>14010.59</v>
      </c>
      <c r="K441" s="189">
        <f t="shared" si="63"/>
        <v>70613.37</v>
      </c>
      <c r="L441" s="189"/>
      <c r="M441" s="138"/>
      <c r="N441" s="138"/>
      <c r="O441" s="138"/>
      <c r="S441" s="72"/>
      <c r="T441" s="72"/>
      <c r="U441" s="72"/>
      <c r="V441" s="72"/>
    </row>
    <row r="442" spans="1:22" s="63" customFormat="1" ht="22.5" x14ac:dyDescent="0.25">
      <c r="A442" s="87">
        <v>3.12</v>
      </c>
      <c r="B442" s="81" t="s">
        <v>42</v>
      </c>
      <c r="C442" s="82">
        <v>6</v>
      </c>
      <c r="D442" s="131" t="s">
        <v>466</v>
      </c>
      <c r="E442" s="83" t="s">
        <v>467</v>
      </c>
      <c r="F442" s="81" t="s">
        <v>207</v>
      </c>
      <c r="G442" s="88">
        <v>2.4339</v>
      </c>
      <c r="H442" s="85"/>
      <c r="I442" s="86">
        <v>687564.01</v>
      </c>
      <c r="J442" s="185">
        <f t="shared" si="62"/>
        <v>321648.53999999998</v>
      </c>
      <c r="K442" s="189">
        <f t="shared" si="63"/>
        <v>782860.38</v>
      </c>
      <c r="L442" s="189"/>
      <c r="M442" s="138"/>
      <c r="N442" s="138"/>
      <c r="O442" s="138"/>
      <c r="S442" s="72"/>
      <c r="T442" s="72"/>
      <c r="U442" s="72"/>
      <c r="V442" s="72"/>
    </row>
    <row r="443" spans="1:22" s="63" customFormat="1" ht="33.75" x14ac:dyDescent="0.25">
      <c r="A443" s="87">
        <v>3.13</v>
      </c>
      <c r="B443" s="81" t="s">
        <v>42</v>
      </c>
      <c r="C443" s="80">
        <v>6.1</v>
      </c>
      <c r="D443" s="131" t="s">
        <v>468</v>
      </c>
      <c r="E443" s="83" t="s">
        <v>469</v>
      </c>
      <c r="F443" s="81" t="s">
        <v>370</v>
      </c>
      <c r="G443" s="87">
        <v>138.18</v>
      </c>
      <c r="H443" s="85"/>
      <c r="I443" s="86">
        <v>1913897.7</v>
      </c>
      <c r="J443" s="185">
        <f t="shared" si="62"/>
        <v>15770.47</v>
      </c>
      <c r="K443" s="189">
        <f t="shared" si="63"/>
        <v>2179163.54</v>
      </c>
      <c r="L443" s="189"/>
      <c r="M443" s="138"/>
      <c r="N443" s="138"/>
      <c r="O443" s="138"/>
      <c r="S443" s="72"/>
      <c r="T443" s="72"/>
      <c r="U443" s="72"/>
      <c r="V443" s="72"/>
    </row>
    <row r="444" spans="1:22" s="63" customFormat="1" ht="22.5" x14ac:dyDescent="0.25">
      <c r="A444" s="87">
        <v>3.14</v>
      </c>
      <c r="B444" s="81" t="s">
        <v>42</v>
      </c>
      <c r="C444" s="80">
        <v>6.2</v>
      </c>
      <c r="D444" s="131" t="s">
        <v>470</v>
      </c>
      <c r="E444" s="83" t="s">
        <v>471</v>
      </c>
      <c r="F444" s="81" t="s">
        <v>370</v>
      </c>
      <c r="G444" s="87">
        <v>101.85</v>
      </c>
      <c r="H444" s="85"/>
      <c r="I444" s="86">
        <v>1356732.49</v>
      </c>
      <c r="J444" s="185">
        <f t="shared" si="62"/>
        <v>15167.16</v>
      </c>
      <c r="K444" s="189">
        <f t="shared" si="63"/>
        <v>1544775.25</v>
      </c>
      <c r="L444" s="189"/>
      <c r="M444" s="138"/>
      <c r="N444" s="138"/>
      <c r="O444" s="138"/>
      <c r="S444" s="72"/>
      <c r="T444" s="72"/>
      <c r="U444" s="72"/>
      <c r="V444" s="72"/>
    </row>
    <row r="445" spans="1:22" s="63" customFormat="1" ht="33.75" x14ac:dyDescent="0.25">
      <c r="A445" s="87">
        <v>3.15</v>
      </c>
      <c r="B445" s="81" t="s">
        <v>42</v>
      </c>
      <c r="C445" s="80">
        <v>6.3</v>
      </c>
      <c r="D445" s="131" t="s">
        <v>472</v>
      </c>
      <c r="E445" s="83" t="s">
        <v>473</v>
      </c>
      <c r="F445" s="81" t="s">
        <v>370</v>
      </c>
      <c r="G445" s="87">
        <v>3.36</v>
      </c>
      <c r="H445" s="85"/>
      <c r="I445" s="86">
        <v>42346.5</v>
      </c>
      <c r="J445" s="185">
        <f t="shared" si="62"/>
        <v>14349.92</v>
      </c>
      <c r="K445" s="189">
        <f t="shared" si="63"/>
        <v>48215.73</v>
      </c>
      <c r="L445" s="189"/>
      <c r="M445" s="138"/>
      <c r="N445" s="138"/>
      <c r="O445" s="138"/>
      <c r="S445" s="72"/>
      <c r="T445" s="72"/>
      <c r="U445" s="72"/>
      <c r="V445" s="72"/>
    </row>
    <row r="446" spans="1:22" s="63" customFormat="1" ht="15" x14ac:dyDescent="0.25">
      <c r="A446" s="87">
        <v>3.16</v>
      </c>
      <c r="B446" s="81" t="s">
        <v>42</v>
      </c>
      <c r="C446" s="82">
        <v>7</v>
      </c>
      <c r="D446" s="131" t="s">
        <v>474</v>
      </c>
      <c r="E446" s="83" t="s">
        <v>475</v>
      </c>
      <c r="F446" s="81" t="s">
        <v>354</v>
      </c>
      <c r="G446" s="84">
        <v>1.216</v>
      </c>
      <c r="H446" s="85"/>
      <c r="I446" s="86">
        <v>8659.68</v>
      </c>
      <c r="J446" s="185">
        <f t="shared" si="62"/>
        <v>8108.48</v>
      </c>
      <c r="K446" s="189">
        <f t="shared" si="63"/>
        <v>9859.91</v>
      </c>
      <c r="L446" s="189"/>
      <c r="M446" s="138"/>
      <c r="N446" s="138"/>
      <c r="O446" s="138"/>
      <c r="S446" s="72"/>
      <c r="T446" s="72"/>
      <c r="U446" s="72"/>
      <c r="V446" s="72"/>
    </row>
    <row r="447" spans="1:22" s="63" customFormat="1" ht="22.5" x14ac:dyDescent="0.25">
      <c r="A447" s="87">
        <v>3.17</v>
      </c>
      <c r="B447" s="81" t="s">
        <v>42</v>
      </c>
      <c r="C447" s="80">
        <v>7.1</v>
      </c>
      <c r="D447" s="131" t="s">
        <v>476</v>
      </c>
      <c r="E447" s="83" t="s">
        <v>477</v>
      </c>
      <c r="F447" s="81" t="s">
        <v>334</v>
      </c>
      <c r="G447" s="84">
        <v>136.19200000000001</v>
      </c>
      <c r="H447" s="85"/>
      <c r="I447" s="86">
        <v>7413.56</v>
      </c>
      <c r="J447" s="185">
        <f t="shared" si="62"/>
        <v>61.98</v>
      </c>
      <c r="K447" s="189">
        <f t="shared" si="63"/>
        <v>8441.18</v>
      </c>
      <c r="L447" s="189"/>
      <c r="M447" s="138"/>
      <c r="N447" s="138"/>
      <c r="O447" s="138"/>
      <c r="S447" s="72"/>
      <c r="T447" s="72"/>
      <c r="U447" s="72"/>
      <c r="V447" s="72"/>
    </row>
    <row r="448" spans="1:22" s="128" customFormat="1" ht="12.75" x14ac:dyDescent="0.25">
      <c r="A448" s="237"/>
      <c r="B448" s="125"/>
      <c r="C448" s="236"/>
      <c r="D448" s="77"/>
      <c r="E448" s="126" t="s">
        <v>3252</v>
      </c>
      <c r="F448" s="125"/>
      <c r="G448" s="242"/>
      <c r="H448" s="127"/>
      <c r="I448" s="78"/>
      <c r="J448" s="238"/>
      <c r="K448" s="239"/>
      <c r="L448" s="239"/>
      <c r="M448" s="79"/>
      <c r="N448" s="79"/>
      <c r="O448" s="79"/>
      <c r="S448" s="129"/>
      <c r="T448" s="129"/>
      <c r="U448" s="129"/>
      <c r="V448" s="129"/>
    </row>
    <row r="449" spans="1:22" s="63" customFormat="1" ht="15" x14ac:dyDescent="0.25">
      <c r="A449" s="87">
        <v>3.18</v>
      </c>
      <c r="B449" s="81" t="s">
        <v>42</v>
      </c>
      <c r="C449" s="82">
        <v>8</v>
      </c>
      <c r="D449" s="131" t="s">
        <v>478</v>
      </c>
      <c r="E449" s="83" t="s">
        <v>479</v>
      </c>
      <c r="F449" s="81" t="s">
        <v>370</v>
      </c>
      <c r="G449" s="87">
        <v>26.46</v>
      </c>
      <c r="H449" s="85"/>
      <c r="I449" s="86">
        <v>85146.25</v>
      </c>
      <c r="J449" s="185">
        <f>ROUND($I449/$G449*$N$11,2)</f>
        <v>3663.93</v>
      </c>
      <c r="K449" s="189">
        <f>ROUND(G449*J449,2)</f>
        <v>96947.59</v>
      </c>
      <c r="L449" s="189"/>
      <c r="M449" s="138"/>
      <c r="N449" s="138"/>
      <c r="O449" s="138"/>
      <c r="S449" s="72"/>
      <c r="T449" s="72"/>
      <c r="U449" s="72"/>
      <c r="V449" s="72"/>
    </row>
    <row r="450" spans="1:22" s="63" customFormat="1" ht="22.5" x14ac:dyDescent="0.25">
      <c r="A450" s="87">
        <v>3.19</v>
      </c>
      <c r="B450" s="81" t="s">
        <v>42</v>
      </c>
      <c r="C450" s="80">
        <v>8.1</v>
      </c>
      <c r="D450" s="131" t="s">
        <v>480</v>
      </c>
      <c r="E450" s="83" t="s">
        <v>3451</v>
      </c>
      <c r="F450" s="81" t="s">
        <v>219</v>
      </c>
      <c r="G450" s="82">
        <v>9</v>
      </c>
      <c r="H450" s="85"/>
      <c r="I450" s="86">
        <v>198337.73</v>
      </c>
      <c r="J450" s="185">
        <f>ROUND($I450/$G450*$N$11,2)</f>
        <v>25091.93</v>
      </c>
      <c r="K450" s="189">
        <f>ROUND(G450*J450,2)</f>
        <v>225827.37</v>
      </c>
      <c r="L450" s="189"/>
      <c r="M450" s="138"/>
      <c r="N450" s="138"/>
      <c r="O450" s="138"/>
      <c r="S450" s="72"/>
      <c r="T450" s="72"/>
      <c r="U450" s="72"/>
      <c r="V450" s="72"/>
    </row>
    <row r="451" spans="1:22" s="63" customFormat="1" ht="15" x14ac:dyDescent="0.25">
      <c r="A451" s="87">
        <v>3.2</v>
      </c>
      <c r="B451" s="81" t="s">
        <v>42</v>
      </c>
      <c r="C451" s="82">
        <v>9</v>
      </c>
      <c r="D451" s="131" t="s">
        <v>481</v>
      </c>
      <c r="E451" s="83" t="s">
        <v>482</v>
      </c>
      <c r="F451" s="81" t="s">
        <v>370</v>
      </c>
      <c r="G451" s="80">
        <v>29.4</v>
      </c>
      <c r="H451" s="85"/>
      <c r="I451" s="86">
        <v>89450.51</v>
      </c>
      <c r="J451" s="185">
        <f>ROUND($I451/$G451*$N$11,2)</f>
        <v>3464.23</v>
      </c>
      <c r="K451" s="189">
        <f>ROUND(G451*J451,2)</f>
        <v>101848.36</v>
      </c>
      <c r="L451" s="189"/>
      <c r="M451" s="138"/>
      <c r="N451" s="138"/>
      <c r="O451" s="138"/>
      <c r="S451" s="72"/>
      <c r="T451" s="72"/>
      <c r="U451" s="72"/>
      <c r="V451" s="72"/>
    </row>
    <row r="452" spans="1:22" s="63" customFormat="1" ht="22.5" x14ac:dyDescent="0.25">
      <c r="A452" s="87">
        <v>3.21</v>
      </c>
      <c r="B452" s="81" t="s">
        <v>42</v>
      </c>
      <c r="C452" s="80">
        <v>9.1</v>
      </c>
      <c r="D452" s="131" t="s">
        <v>483</v>
      </c>
      <c r="E452" s="83" t="s">
        <v>3452</v>
      </c>
      <c r="F452" s="81" t="s">
        <v>219</v>
      </c>
      <c r="G452" s="82">
        <v>14</v>
      </c>
      <c r="H452" s="85"/>
      <c r="I452" s="86">
        <v>168275.82</v>
      </c>
      <c r="J452" s="185">
        <f>ROUND($I452/$G452*$N$11,2)</f>
        <v>13685.63</v>
      </c>
      <c r="K452" s="189">
        <f>ROUND(G452*J452,2)</f>
        <v>191598.82</v>
      </c>
      <c r="L452" s="189"/>
      <c r="M452" s="138"/>
      <c r="N452" s="138"/>
      <c r="O452" s="138"/>
      <c r="S452" s="72"/>
      <c r="T452" s="72"/>
      <c r="U452" s="72"/>
      <c r="V452" s="72"/>
    </row>
    <row r="453" spans="1:22" s="128" customFormat="1" ht="12.75" x14ac:dyDescent="0.25">
      <c r="A453" s="237"/>
      <c r="B453" s="125"/>
      <c r="C453" s="236"/>
      <c r="D453" s="77"/>
      <c r="E453" s="126" t="s">
        <v>3253</v>
      </c>
      <c r="F453" s="125"/>
      <c r="G453" s="76"/>
      <c r="H453" s="127"/>
      <c r="I453" s="78"/>
      <c r="J453" s="238"/>
      <c r="K453" s="239"/>
      <c r="L453" s="239"/>
      <c r="M453" s="79"/>
      <c r="N453" s="79"/>
      <c r="O453" s="79"/>
      <c r="S453" s="129"/>
      <c r="T453" s="129"/>
      <c r="U453" s="129"/>
      <c r="V453" s="129"/>
    </row>
    <row r="454" spans="1:22" s="63" customFormat="1" ht="15" x14ac:dyDescent="0.25">
      <c r="A454" s="87">
        <v>3.22</v>
      </c>
      <c r="B454" s="81" t="s">
        <v>42</v>
      </c>
      <c r="C454" s="82">
        <v>10</v>
      </c>
      <c r="D454" s="131" t="s">
        <v>484</v>
      </c>
      <c r="E454" s="83" t="s">
        <v>485</v>
      </c>
      <c r="F454" s="81" t="s">
        <v>370</v>
      </c>
      <c r="G454" s="87">
        <v>71.59</v>
      </c>
      <c r="H454" s="85"/>
      <c r="I454" s="86">
        <v>224681.07</v>
      </c>
      <c r="J454" s="185">
        <f t="shared" ref="J454:J459" si="64">ROUND($I454/$G454*$N$11,2)</f>
        <v>3573.43</v>
      </c>
      <c r="K454" s="189">
        <f t="shared" ref="K454:K459" si="65">ROUND(G454*J454,2)</f>
        <v>255821.85</v>
      </c>
      <c r="L454" s="189"/>
      <c r="M454" s="138"/>
      <c r="N454" s="138"/>
      <c r="O454" s="138"/>
      <c r="S454" s="72"/>
      <c r="T454" s="72"/>
      <c r="U454" s="72"/>
      <c r="V454" s="72"/>
    </row>
    <row r="455" spans="1:22" s="63" customFormat="1" ht="33.75" x14ac:dyDescent="0.25">
      <c r="A455" s="87">
        <v>3.23</v>
      </c>
      <c r="B455" s="81" t="s">
        <v>42</v>
      </c>
      <c r="C455" s="80">
        <v>10.1</v>
      </c>
      <c r="D455" s="131" t="s">
        <v>486</v>
      </c>
      <c r="E455" s="83" t="s">
        <v>3453</v>
      </c>
      <c r="F455" s="81" t="s">
        <v>219</v>
      </c>
      <c r="G455" s="82">
        <v>4</v>
      </c>
      <c r="H455" s="85"/>
      <c r="I455" s="86">
        <v>187209.49</v>
      </c>
      <c r="J455" s="185">
        <f t="shared" si="64"/>
        <v>53289.18</v>
      </c>
      <c r="K455" s="189">
        <f t="shared" si="65"/>
        <v>213156.72</v>
      </c>
      <c r="L455" s="189"/>
      <c r="M455" s="138"/>
      <c r="N455" s="138"/>
      <c r="O455" s="138"/>
      <c r="S455" s="72"/>
      <c r="T455" s="72"/>
      <c r="U455" s="72"/>
      <c r="V455" s="72"/>
    </row>
    <row r="456" spans="1:22" s="63" customFormat="1" ht="22.5" x14ac:dyDescent="0.25">
      <c r="A456" s="87">
        <v>3.24</v>
      </c>
      <c r="B456" s="81" t="s">
        <v>42</v>
      </c>
      <c r="C456" s="80">
        <v>10.199999999999999</v>
      </c>
      <c r="D456" s="131" t="s">
        <v>487</v>
      </c>
      <c r="E456" s="83" t="s">
        <v>3454</v>
      </c>
      <c r="F456" s="81" t="s">
        <v>219</v>
      </c>
      <c r="G456" s="82">
        <v>12</v>
      </c>
      <c r="H456" s="85"/>
      <c r="I456" s="86">
        <v>702035.4</v>
      </c>
      <c r="J456" s="185">
        <f t="shared" si="64"/>
        <v>66611.460000000006</v>
      </c>
      <c r="K456" s="189">
        <f t="shared" si="65"/>
        <v>799337.52</v>
      </c>
      <c r="L456" s="189"/>
      <c r="M456" s="138"/>
      <c r="N456" s="138"/>
      <c r="O456" s="138"/>
      <c r="S456" s="72"/>
      <c r="T456" s="72"/>
      <c r="U456" s="72"/>
      <c r="V456" s="72"/>
    </row>
    <row r="457" spans="1:22" s="63" customFormat="1" ht="22.5" x14ac:dyDescent="0.25">
      <c r="A457" s="87">
        <v>3.25</v>
      </c>
      <c r="B457" s="81" t="s">
        <v>42</v>
      </c>
      <c r="C457" s="80">
        <v>10.3</v>
      </c>
      <c r="D457" s="131" t="s">
        <v>488</v>
      </c>
      <c r="E457" s="83" t="s">
        <v>3455</v>
      </c>
      <c r="F457" s="81" t="s">
        <v>219</v>
      </c>
      <c r="G457" s="82">
        <v>1</v>
      </c>
      <c r="H457" s="85"/>
      <c r="I457" s="86">
        <v>27297.48</v>
      </c>
      <c r="J457" s="185">
        <f t="shared" si="64"/>
        <v>31080.91</v>
      </c>
      <c r="K457" s="189">
        <f t="shared" si="65"/>
        <v>31080.91</v>
      </c>
      <c r="L457" s="189"/>
      <c r="M457" s="138"/>
      <c r="N457" s="138"/>
      <c r="O457" s="138"/>
      <c r="S457" s="72"/>
      <c r="T457" s="72"/>
      <c r="U457" s="72"/>
      <c r="V457" s="72"/>
    </row>
    <row r="458" spans="1:22" s="63" customFormat="1" ht="22.5" x14ac:dyDescent="0.25">
      <c r="A458" s="87">
        <v>3.26</v>
      </c>
      <c r="B458" s="81" t="s">
        <v>42</v>
      </c>
      <c r="C458" s="80">
        <v>10.4</v>
      </c>
      <c r="D458" s="131" t="s">
        <v>489</v>
      </c>
      <c r="E458" s="83" t="s">
        <v>490</v>
      </c>
      <c r="F458" s="81" t="s">
        <v>491</v>
      </c>
      <c r="G458" s="82">
        <v>17</v>
      </c>
      <c r="H458" s="85"/>
      <c r="I458" s="86">
        <v>14292.89</v>
      </c>
      <c r="J458" s="185">
        <f t="shared" si="64"/>
        <v>957.29</v>
      </c>
      <c r="K458" s="189">
        <f t="shared" si="65"/>
        <v>16273.93</v>
      </c>
      <c r="L458" s="189"/>
      <c r="M458" s="138"/>
      <c r="N458" s="138"/>
      <c r="O458" s="138"/>
      <c r="S458" s="72"/>
      <c r="T458" s="72"/>
      <c r="U458" s="72"/>
      <c r="V458" s="72"/>
    </row>
    <row r="459" spans="1:22" s="63" customFormat="1" ht="22.5" x14ac:dyDescent="0.25">
      <c r="A459" s="87">
        <v>3.27</v>
      </c>
      <c r="B459" s="81" t="s">
        <v>42</v>
      </c>
      <c r="C459" s="80">
        <v>10.5</v>
      </c>
      <c r="D459" s="131" t="s">
        <v>492</v>
      </c>
      <c r="E459" s="83" t="s">
        <v>493</v>
      </c>
      <c r="F459" s="81" t="s">
        <v>219</v>
      </c>
      <c r="G459" s="82">
        <v>11</v>
      </c>
      <c r="H459" s="85"/>
      <c r="I459" s="86">
        <v>26590.45</v>
      </c>
      <c r="J459" s="185">
        <f t="shared" si="64"/>
        <v>2752.35</v>
      </c>
      <c r="K459" s="189">
        <f t="shared" si="65"/>
        <v>30275.85</v>
      </c>
      <c r="L459" s="189"/>
      <c r="M459" s="138"/>
      <c r="N459" s="138"/>
      <c r="O459" s="138"/>
      <c r="S459" s="72"/>
      <c r="T459" s="72"/>
      <c r="U459" s="72"/>
      <c r="V459" s="72"/>
    </row>
    <row r="460" spans="1:22" s="63" customFormat="1" ht="15" x14ac:dyDescent="0.25">
      <c r="A460" s="194">
        <v>4</v>
      </c>
      <c r="B460" s="418" t="s">
        <v>494</v>
      </c>
      <c r="C460" s="418"/>
      <c r="D460" s="418"/>
      <c r="E460" s="195" t="s">
        <v>154</v>
      </c>
      <c r="F460" s="196"/>
      <c r="G460" s="194">
        <v>1</v>
      </c>
      <c r="H460" s="197">
        <v>8299991.0099999998</v>
      </c>
      <c r="I460" s="355">
        <f>SUM(I462:I555)</f>
        <v>8299990.9899999984</v>
      </c>
      <c r="J460" s="200"/>
      <c r="K460" s="198">
        <f>SUM(K462:K555)</f>
        <v>9450386.790000001</v>
      </c>
      <c r="L460" s="198"/>
      <c r="M460" s="207"/>
      <c r="N460" s="209"/>
      <c r="O460" s="138"/>
      <c r="S460" s="72"/>
      <c r="T460" s="72"/>
      <c r="U460" s="72"/>
      <c r="V460" s="72"/>
    </row>
    <row r="461" spans="1:22" s="224" customFormat="1" ht="15" x14ac:dyDescent="0.25">
      <c r="A461" s="216"/>
      <c r="B461" s="217"/>
      <c r="C461" s="217"/>
      <c r="D461" s="217"/>
      <c r="E461" s="218" t="s">
        <v>3254</v>
      </c>
      <c r="F461" s="219"/>
      <c r="G461" s="216"/>
      <c r="H461" s="220"/>
      <c r="I461" s="221"/>
      <c r="J461" s="244"/>
      <c r="K461" s="221"/>
      <c r="L461" s="221"/>
      <c r="M461" s="222"/>
      <c r="N461" s="223"/>
      <c r="O461" s="245"/>
      <c r="S461" s="225"/>
      <c r="T461" s="225"/>
      <c r="U461" s="225"/>
      <c r="V461" s="225"/>
    </row>
    <row r="462" spans="1:22" s="63" customFormat="1" ht="15" x14ac:dyDescent="0.25">
      <c r="A462" s="80">
        <v>4.0999999999999996</v>
      </c>
      <c r="B462" s="81" t="s">
        <v>44</v>
      </c>
      <c r="C462" s="82">
        <v>1</v>
      </c>
      <c r="D462" s="131" t="s">
        <v>495</v>
      </c>
      <c r="E462" s="83" t="s">
        <v>496</v>
      </c>
      <c r="F462" s="81" t="s">
        <v>207</v>
      </c>
      <c r="G462" s="87">
        <v>12.94</v>
      </c>
      <c r="H462" s="85"/>
      <c r="I462" s="86">
        <f>395528-0.02</f>
        <v>395527.98</v>
      </c>
      <c r="J462" s="185">
        <f t="shared" ref="J462:J490" si="66">ROUND($I462/$G462*$N$11,2)</f>
        <v>34802.79</v>
      </c>
      <c r="K462" s="189">
        <f t="shared" ref="K462:K490" si="67">ROUND(G462*J462,2)</f>
        <v>450348.1</v>
      </c>
      <c r="L462" s="189"/>
      <c r="M462" s="138"/>
      <c r="N462" s="138"/>
      <c r="O462" s="138"/>
      <c r="S462" s="72"/>
      <c r="T462" s="72"/>
      <c r="U462" s="72"/>
      <c r="V462" s="72"/>
    </row>
    <row r="463" spans="1:22" s="63" customFormat="1" ht="22.5" x14ac:dyDescent="0.25">
      <c r="A463" s="80">
        <v>4.2</v>
      </c>
      <c r="B463" s="81" t="s">
        <v>44</v>
      </c>
      <c r="C463" s="80">
        <v>1.1000000000000001</v>
      </c>
      <c r="D463" s="131" t="s">
        <v>497</v>
      </c>
      <c r="E463" s="83" t="s">
        <v>3456</v>
      </c>
      <c r="F463" s="81" t="s">
        <v>207</v>
      </c>
      <c r="G463" s="87">
        <v>12.94</v>
      </c>
      <c r="H463" s="85"/>
      <c r="I463" s="86">
        <v>65892.91</v>
      </c>
      <c r="J463" s="185">
        <f t="shared" si="66"/>
        <v>5797.97</v>
      </c>
      <c r="K463" s="189">
        <f t="shared" si="67"/>
        <v>75025.73</v>
      </c>
      <c r="L463" s="189"/>
      <c r="M463" s="138"/>
      <c r="N463" s="138"/>
      <c r="O463" s="138"/>
      <c r="S463" s="72"/>
      <c r="T463" s="72"/>
      <c r="U463" s="72"/>
      <c r="V463" s="72"/>
    </row>
    <row r="464" spans="1:22" s="63" customFormat="1" ht="22.5" x14ac:dyDescent="0.25">
      <c r="A464" s="80">
        <v>4.3</v>
      </c>
      <c r="B464" s="81" t="s">
        <v>44</v>
      </c>
      <c r="C464" s="80">
        <v>1.2</v>
      </c>
      <c r="D464" s="131" t="s">
        <v>383</v>
      </c>
      <c r="E464" s="83" t="s">
        <v>384</v>
      </c>
      <c r="F464" s="81" t="s">
        <v>205</v>
      </c>
      <c r="G464" s="88">
        <v>26.397600000000001</v>
      </c>
      <c r="H464" s="85"/>
      <c r="I464" s="86">
        <v>197345.66</v>
      </c>
      <c r="J464" s="185">
        <f t="shared" si="66"/>
        <v>8512.0499999999993</v>
      </c>
      <c r="K464" s="189">
        <f t="shared" si="67"/>
        <v>224697.69</v>
      </c>
      <c r="L464" s="189"/>
      <c r="M464" s="138"/>
      <c r="N464" s="138"/>
      <c r="O464" s="138"/>
      <c r="S464" s="72"/>
      <c r="T464" s="72"/>
      <c r="U464" s="72"/>
      <c r="V464" s="72"/>
    </row>
    <row r="465" spans="1:22" s="63" customFormat="1" ht="15" x14ac:dyDescent="0.25">
      <c r="A465" s="80">
        <v>4.4000000000000004</v>
      </c>
      <c r="B465" s="81" t="s">
        <v>44</v>
      </c>
      <c r="C465" s="82">
        <v>2</v>
      </c>
      <c r="D465" s="131" t="s">
        <v>498</v>
      </c>
      <c r="E465" s="83" t="s">
        <v>499</v>
      </c>
      <c r="F465" s="81" t="s">
        <v>207</v>
      </c>
      <c r="G465" s="87">
        <v>12.94</v>
      </c>
      <c r="H465" s="85"/>
      <c r="I465" s="86">
        <v>189313.09</v>
      </c>
      <c r="J465" s="185">
        <f t="shared" si="66"/>
        <v>16657.8</v>
      </c>
      <c r="K465" s="189">
        <f t="shared" si="67"/>
        <v>215551.93</v>
      </c>
      <c r="L465" s="189"/>
      <c r="M465" s="138"/>
      <c r="N465" s="138"/>
      <c r="O465" s="138"/>
      <c r="S465" s="72"/>
      <c r="T465" s="72"/>
      <c r="U465" s="72"/>
      <c r="V465" s="72"/>
    </row>
    <row r="466" spans="1:22" s="63" customFormat="1" ht="22.5" x14ac:dyDescent="0.25">
      <c r="A466" s="80">
        <v>4.5</v>
      </c>
      <c r="B466" s="81" t="s">
        <v>44</v>
      </c>
      <c r="C466" s="80">
        <v>2.1</v>
      </c>
      <c r="D466" s="131" t="s">
        <v>500</v>
      </c>
      <c r="E466" s="83" t="s">
        <v>501</v>
      </c>
      <c r="F466" s="81" t="s">
        <v>370</v>
      </c>
      <c r="G466" s="80">
        <v>-1423.4</v>
      </c>
      <c r="H466" s="85"/>
      <c r="I466" s="86">
        <v>-61555.8</v>
      </c>
      <c r="J466" s="185">
        <f t="shared" si="66"/>
        <v>49.24</v>
      </c>
      <c r="K466" s="189">
        <f t="shared" si="67"/>
        <v>-70088.22</v>
      </c>
      <c r="L466" s="189"/>
      <c r="M466" s="138"/>
      <c r="N466" s="138"/>
      <c r="O466" s="138"/>
      <c r="S466" s="72"/>
      <c r="T466" s="72"/>
      <c r="U466" s="72"/>
      <c r="V466" s="72"/>
    </row>
    <row r="467" spans="1:22" s="63" customFormat="1" ht="22.5" x14ac:dyDescent="0.25">
      <c r="A467" s="80">
        <v>4.5999999999999996</v>
      </c>
      <c r="B467" s="81" t="s">
        <v>44</v>
      </c>
      <c r="C467" s="80">
        <v>2.2000000000000002</v>
      </c>
      <c r="D467" s="131" t="s">
        <v>502</v>
      </c>
      <c r="E467" s="83" t="s">
        <v>503</v>
      </c>
      <c r="F467" s="81" t="s">
        <v>370</v>
      </c>
      <c r="G467" s="80">
        <v>1423.4</v>
      </c>
      <c r="H467" s="85"/>
      <c r="I467" s="86">
        <v>187574.55</v>
      </c>
      <c r="J467" s="185">
        <f t="shared" si="66"/>
        <v>150.04</v>
      </c>
      <c r="K467" s="189">
        <f t="shared" si="67"/>
        <v>213566.94</v>
      </c>
      <c r="L467" s="189"/>
      <c r="M467" s="138"/>
      <c r="N467" s="138"/>
      <c r="O467" s="138"/>
      <c r="S467" s="72"/>
      <c r="T467" s="72"/>
      <c r="U467" s="72"/>
      <c r="V467" s="72"/>
    </row>
    <row r="468" spans="1:22" s="63" customFormat="1" ht="22.5" x14ac:dyDescent="0.25">
      <c r="A468" s="80">
        <v>4.7</v>
      </c>
      <c r="B468" s="81" t="s">
        <v>44</v>
      </c>
      <c r="C468" s="82">
        <v>3</v>
      </c>
      <c r="D468" s="131" t="s">
        <v>504</v>
      </c>
      <c r="E468" s="83" t="s">
        <v>505</v>
      </c>
      <c r="F468" s="81" t="s">
        <v>207</v>
      </c>
      <c r="G468" s="87">
        <v>12.94</v>
      </c>
      <c r="H468" s="85"/>
      <c r="I468" s="86">
        <v>496436.18</v>
      </c>
      <c r="J468" s="185">
        <f t="shared" si="66"/>
        <v>43681.78</v>
      </c>
      <c r="K468" s="189">
        <f t="shared" si="67"/>
        <v>565242.23</v>
      </c>
      <c r="L468" s="189"/>
      <c r="M468" s="138"/>
      <c r="N468" s="138"/>
      <c r="O468" s="138"/>
      <c r="S468" s="72"/>
      <c r="T468" s="72"/>
      <c r="U468" s="72"/>
      <c r="V468" s="72"/>
    </row>
    <row r="469" spans="1:22" s="63" customFormat="1" ht="22.5" x14ac:dyDescent="0.25">
      <c r="A469" s="80">
        <v>4.8</v>
      </c>
      <c r="B469" s="81" t="s">
        <v>44</v>
      </c>
      <c r="C469" s="80">
        <v>3.1</v>
      </c>
      <c r="D469" s="131" t="s">
        <v>506</v>
      </c>
      <c r="E469" s="83" t="s">
        <v>507</v>
      </c>
      <c r="F469" s="81" t="s">
        <v>205</v>
      </c>
      <c r="G469" s="84">
        <v>133.28200000000001</v>
      </c>
      <c r="H469" s="85"/>
      <c r="I469" s="86">
        <v>1073450.8999999999</v>
      </c>
      <c r="J469" s="185">
        <f t="shared" si="66"/>
        <v>9170.26</v>
      </c>
      <c r="K469" s="189">
        <f t="shared" si="67"/>
        <v>1222230.5900000001</v>
      </c>
      <c r="L469" s="189"/>
      <c r="M469" s="138"/>
      <c r="N469" s="138"/>
      <c r="O469" s="138"/>
      <c r="S469" s="72"/>
      <c r="T469" s="72"/>
      <c r="U469" s="72"/>
      <c r="V469" s="72"/>
    </row>
    <row r="470" spans="1:22" s="63" customFormat="1" ht="22.5" x14ac:dyDescent="0.25">
      <c r="A470" s="80">
        <v>4.9000000000000004</v>
      </c>
      <c r="B470" s="81" t="s">
        <v>44</v>
      </c>
      <c r="C470" s="82">
        <v>4</v>
      </c>
      <c r="D470" s="131" t="s">
        <v>504</v>
      </c>
      <c r="E470" s="83" t="s">
        <v>508</v>
      </c>
      <c r="F470" s="81" t="s">
        <v>207</v>
      </c>
      <c r="G470" s="87">
        <v>12.94</v>
      </c>
      <c r="H470" s="85"/>
      <c r="I470" s="86">
        <v>496436.18</v>
      </c>
      <c r="J470" s="185">
        <f t="shared" si="66"/>
        <v>43681.78</v>
      </c>
      <c r="K470" s="189">
        <f t="shared" si="67"/>
        <v>565242.23</v>
      </c>
      <c r="L470" s="189"/>
      <c r="M470" s="138"/>
      <c r="N470" s="138"/>
      <c r="O470" s="138"/>
      <c r="S470" s="72"/>
      <c r="T470" s="72"/>
      <c r="U470" s="72"/>
      <c r="V470" s="72"/>
    </row>
    <row r="471" spans="1:22" s="63" customFormat="1" ht="22.5" x14ac:dyDescent="0.25">
      <c r="A471" s="87">
        <v>4.0999999999999996</v>
      </c>
      <c r="B471" s="81" t="s">
        <v>44</v>
      </c>
      <c r="C471" s="80">
        <v>4.0999999999999996</v>
      </c>
      <c r="D471" s="131" t="s">
        <v>509</v>
      </c>
      <c r="E471" s="83" t="s">
        <v>3457</v>
      </c>
      <c r="F471" s="81" t="s">
        <v>219</v>
      </c>
      <c r="G471" s="82">
        <v>150</v>
      </c>
      <c r="H471" s="85"/>
      <c r="I471" s="86">
        <v>23513</v>
      </c>
      <c r="J471" s="185">
        <f t="shared" si="66"/>
        <v>178.48</v>
      </c>
      <c r="K471" s="189">
        <f t="shared" si="67"/>
        <v>26772</v>
      </c>
      <c r="L471" s="189"/>
      <c r="M471" s="138"/>
      <c r="N471" s="138"/>
      <c r="O471" s="138"/>
      <c r="S471" s="72"/>
      <c r="T471" s="72"/>
      <c r="U471" s="72"/>
      <c r="V471" s="72"/>
    </row>
    <row r="472" spans="1:22" s="63" customFormat="1" ht="22.5" x14ac:dyDescent="0.25">
      <c r="A472" s="87">
        <v>4.1100000000000003</v>
      </c>
      <c r="B472" s="81" t="s">
        <v>44</v>
      </c>
      <c r="C472" s="80">
        <v>4.2</v>
      </c>
      <c r="D472" s="131" t="s">
        <v>510</v>
      </c>
      <c r="E472" s="83" t="s">
        <v>3458</v>
      </c>
      <c r="F472" s="81" t="s">
        <v>219</v>
      </c>
      <c r="G472" s="82">
        <v>150</v>
      </c>
      <c r="H472" s="85"/>
      <c r="I472" s="86">
        <v>35102.82</v>
      </c>
      <c r="J472" s="185">
        <f t="shared" si="66"/>
        <v>266.45</v>
      </c>
      <c r="K472" s="189">
        <f t="shared" si="67"/>
        <v>39967.5</v>
      </c>
      <c r="L472" s="189"/>
      <c r="M472" s="138"/>
      <c r="N472" s="138"/>
      <c r="O472" s="138"/>
      <c r="S472" s="72"/>
      <c r="T472" s="72"/>
      <c r="U472" s="72"/>
      <c r="V472" s="72"/>
    </row>
    <row r="473" spans="1:22" s="63" customFormat="1" ht="22.5" x14ac:dyDescent="0.25">
      <c r="A473" s="87">
        <v>4.12</v>
      </c>
      <c r="B473" s="81" t="s">
        <v>44</v>
      </c>
      <c r="C473" s="80">
        <v>4.3</v>
      </c>
      <c r="D473" s="131" t="s">
        <v>511</v>
      </c>
      <c r="E473" s="83" t="s">
        <v>3459</v>
      </c>
      <c r="F473" s="81" t="s">
        <v>219</v>
      </c>
      <c r="G473" s="82">
        <v>135</v>
      </c>
      <c r="H473" s="85"/>
      <c r="I473" s="86">
        <v>31741.200000000001</v>
      </c>
      <c r="J473" s="185">
        <f t="shared" si="66"/>
        <v>267.70999999999998</v>
      </c>
      <c r="K473" s="189">
        <f t="shared" si="67"/>
        <v>36140.85</v>
      </c>
      <c r="L473" s="189"/>
      <c r="M473" s="138"/>
      <c r="N473" s="138"/>
      <c r="O473" s="138"/>
      <c r="S473" s="72"/>
      <c r="T473" s="72"/>
      <c r="U473" s="72"/>
      <c r="V473" s="72"/>
    </row>
    <row r="474" spans="1:22" s="63" customFormat="1" ht="22.5" x14ac:dyDescent="0.25">
      <c r="A474" s="87">
        <v>4.13</v>
      </c>
      <c r="B474" s="81" t="s">
        <v>44</v>
      </c>
      <c r="C474" s="80">
        <v>4.4000000000000004</v>
      </c>
      <c r="D474" s="131" t="s">
        <v>512</v>
      </c>
      <c r="E474" s="83" t="s">
        <v>3460</v>
      </c>
      <c r="F474" s="81" t="s">
        <v>219</v>
      </c>
      <c r="G474" s="82">
        <v>75</v>
      </c>
      <c r="H474" s="85"/>
      <c r="I474" s="86">
        <v>22981.35</v>
      </c>
      <c r="J474" s="185">
        <f t="shared" si="66"/>
        <v>348.89</v>
      </c>
      <c r="K474" s="189">
        <f t="shared" si="67"/>
        <v>26166.75</v>
      </c>
      <c r="L474" s="189"/>
      <c r="M474" s="138"/>
      <c r="N474" s="138"/>
      <c r="O474" s="138"/>
      <c r="S474" s="72"/>
      <c r="T474" s="72"/>
      <c r="U474" s="72"/>
      <c r="V474" s="72"/>
    </row>
    <row r="475" spans="1:22" s="63" customFormat="1" ht="22.5" x14ac:dyDescent="0.25">
      <c r="A475" s="87">
        <v>4.1399999999999997</v>
      </c>
      <c r="B475" s="81" t="s">
        <v>44</v>
      </c>
      <c r="C475" s="80">
        <v>4.5</v>
      </c>
      <c r="D475" s="131" t="s">
        <v>513</v>
      </c>
      <c r="E475" s="83" t="s">
        <v>3461</v>
      </c>
      <c r="F475" s="81" t="s">
        <v>219</v>
      </c>
      <c r="G475" s="82">
        <v>210</v>
      </c>
      <c r="H475" s="85"/>
      <c r="I475" s="86">
        <v>41209.949999999997</v>
      </c>
      <c r="J475" s="185">
        <f t="shared" si="66"/>
        <v>223.44</v>
      </c>
      <c r="K475" s="189">
        <f t="shared" si="67"/>
        <v>46922.400000000001</v>
      </c>
      <c r="L475" s="189"/>
      <c r="M475" s="138"/>
      <c r="N475" s="138"/>
      <c r="O475" s="138"/>
      <c r="S475" s="72"/>
      <c r="T475" s="72"/>
      <c r="U475" s="72"/>
      <c r="V475" s="72"/>
    </row>
    <row r="476" spans="1:22" s="63" customFormat="1" ht="22.5" x14ac:dyDescent="0.25">
      <c r="A476" s="87">
        <v>4.1500000000000004</v>
      </c>
      <c r="B476" s="81" t="s">
        <v>44</v>
      </c>
      <c r="C476" s="80">
        <v>4.5999999999999996</v>
      </c>
      <c r="D476" s="131" t="s">
        <v>514</v>
      </c>
      <c r="E476" s="83" t="s">
        <v>3462</v>
      </c>
      <c r="F476" s="81" t="s">
        <v>219</v>
      </c>
      <c r="G476" s="82">
        <v>12240</v>
      </c>
      <c r="H476" s="85"/>
      <c r="I476" s="86">
        <v>94135.37</v>
      </c>
      <c r="J476" s="185">
        <f t="shared" si="66"/>
        <v>8.76</v>
      </c>
      <c r="K476" s="189">
        <f t="shared" si="67"/>
        <v>107222.39999999999</v>
      </c>
      <c r="L476" s="189"/>
      <c r="M476" s="138"/>
      <c r="N476" s="138"/>
      <c r="O476" s="138"/>
      <c r="S476" s="72"/>
      <c r="T476" s="72"/>
      <c r="U476" s="72"/>
      <c r="V476" s="72"/>
    </row>
    <row r="477" spans="1:22" s="63" customFormat="1" ht="15" x14ac:dyDescent="0.25">
      <c r="A477" s="87">
        <v>4.16</v>
      </c>
      <c r="B477" s="81" t="s">
        <v>44</v>
      </c>
      <c r="C477" s="82">
        <v>5</v>
      </c>
      <c r="D477" s="131" t="s">
        <v>498</v>
      </c>
      <c r="E477" s="83" t="s">
        <v>499</v>
      </c>
      <c r="F477" s="81" t="s">
        <v>207</v>
      </c>
      <c r="G477" s="87">
        <v>12.94</v>
      </c>
      <c r="H477" s="85"/>
      <c r="I477" s="86">
        <v>189313.09</v>
      </c>
      <c r="J477" s="185">
        <f t="shared" si="66"/>
        <v>16657.8</v>
      </c>
      <c r="K477" s="189">
        <f t="shared" si="67"/>
        <v>215551.93</v>
      </c>
      <c r="L477" s="189"/>
      <c r="M477" s="138"/>
      <c r="N477" s="138"/>
      <c r="O477" s="138"/>
      <c r="S477" s="72"/>
      <c r="T477" s="72"/>
      <c r="U477" s="72"/>
      <c r="V477" s="72"/>
    </row>
    <row r="478" spans="1:22" s="63" customFormat="1" ht="22.5" x14ac:dyDescent="0.25">
      <c r="A478" s="87">
        <v>4.17</v>
      </c>
      <c r="B478" s="81" t="s">
        <v>44</v>
      </c>
      <c r="C478" s="80">
        <v>5.0999999999999996</v>
      </c>
      <c r="D478" s="131" t="s">
        <v>500</v>
      </c>
      <c r="E478" s="83" t="s">
        <v>501</v>
      </c>
      <c r="F478" s="81" t="s">
        <v>370</v>
      </c>
      <c r="G478" s="80">
        <v>-1423.4</v>
      </c>
      <c r="H478" s="85"/>
      <c r="I478" s="86">
        <v>-61555.8</v>
      </c>
      <c r="J478" s="185">
        <f t="shared" si="66"/>
        <v>49.24</v>
      </c>
      <c r="K478" s="189">
        <f t="shared" si="67"/>
        <v>-70088.22</v>
      </c>
      <c r="L478" s="189"/>
      <c r="M478" s="138"/>
      <c r="N478" s="138"/>
      <c r="O478" s="138"/>
      <c r="S478" s="72"/>
      <c r="T478" s="72"/>
      <c r="U478" s="72"/>
      <c r="V478" s="72"/>
    </row>
    <row r="479" spans="1:22" s="63" customFormat="1" ht="22.5" x14ac:dyDescent="0.25">
      <c r="A479" s="87">
        <v>4.18</v>
      </c>
      <c r="B479" s="81" t="s">
        <v>44</v>
      </c>
      <c r="C479" s="80">
        <v>5.2</v>
      </c>
      <c r="D479" s="131" t="s">
        <v>515</v>
      </c>
      <c r="E479" s="83" t="s">
        <v>516</v>
      </c>
      <c r="F479" s="81" t="s">
        <v>370</v>
      </c>
      <c r="G479" s="80">
        <v>1423.4</v>
      </c>
      <c r="H479" s="85"/>
      <c r="I479" s="86">
        <v>168994.04</v>
      </c>
      <c r="J479" s="185">
        <f t="shared" si="66"/>
        <v>135.18</v>
      </c>
      <c r="K479" s="189">
        <f t="shared" si="67"/>
        <v>192415.21</v>
      </c>
      <c r="L479" s="189"/>
      <c r="M479" s="138"/>
      <c r="N479" s="138"/>
      <c r="O479" s="138"/>
      <c r="S479" s="72"/>
      <c r="T479" s="72"/>
      <c r="U479" s="72"/>
      <c r="V479" s="72"/>
    </row>
    <row r="480" spans="1:22" s="63" customFormat="1" ht="15" x14ac:dyDescent="0.25">
      <c r="A480" s="87">
        <v>4.1900000000000004</v>
      </c>
      <c r="B480" s="81" t="s">
        <v>44</v>
      </c>
      <c r="C480" s="82">
        <v>6</v>
      </c>
      <c r="D480" s="131" t="s">
        <v>495</v>
      </c>
      <c r="E480" s="83" t="s">
        <v>496</v>
      </c>
      <c r="F480" s="81" t="s">
        <v>207</v>
      </c>
      <c r="G480" s="87">
        <v>12.94</v>
      </c>
      <c r="H480" s="85"/>
      <c r="I480" s="86">
        <v>395528</v>
      </c>
      <c r="J480" s="185">
        <f t="shared" si="66"/>
        <v>34802.800000000003</v>
      </c>
      <c r="K480" s="189">
        <f t="shared" si="67"/>
        <v>450348.23</v>
      </c>
      <c r="L480" s="189"/>
      <c r="M480" s="138"/>
      <c r="N480" s="138"/>
      <c r="O480" s="138"/>
      <c r="S480" s="72"/>
      <c r="T480" s="72"/>
      <c r="U480" s="72"/>
      <c r="V480" s="72"/>
    </row>
    <row r="481" spans="1:22" s="63" customFormat="1" ht="22.5" x14ac:dyDescent="0.25">
      <c r="A481" s="87">
        <v>4.2</v>
      </c>
      <c r="B481" s="81" t="s">
        <v>44</v>
      </c>
      <c r="C481" s="80">
        <v>6.1</v>
      </c>
      <c r="D481" s="131" t="s">
        <v>383</v>
      </c>
      <c r="E481" s="83" t="s">
        <v>384</v>
      </c>
      <c r="F481" s="81" t="s">
        <v>205</v>
      </c>
      <c r="G481" s="88">
        <v>19.798200000000001</v>
      </c>
      <c r="H481" s="85"/>
      <c r="I481" s="86">
        <v>148009.26</v>
      </c>
      <c r="J481" s="185">
        <f t="shared" si="66"/>
        <v>8512.0499999999993</v>
      </c>
      <c r="K481" s="189">
        <f t="shared" si="67"/>
        <v>168523.27</v>
      </c>
      <c r="L481" s="189"/>
      <c r="M481" s="138"/>
      <c r="N481" s="138"/>
      <c r="O481" s="138"/>
      <c r="S481" s="72"/>
      <c r="T481" s="72"/>
      <c r="U481" s="72"/>
      <c r="V481" s="72"/>
    </row>
    <row r="482" spans="1:22" s="63" customFormat="1" ht="22.5" x14ac:dyDescent="0.25">
      <c r="A482" s="87">
        <v>4.21</v>
      </c>
      <c r="B482" s="81" t="s">
        <v>44</v>
      </c>
      <c r="C482" s="82">
        <v>7</v>
      </c>
      <c r="D482" s="131" t="s">
        <v>497</v>
      </c>
      <c r="E482" s="83" t="s">
        <v>3463</v>
      </c>
      <c r="F482" s="81" t="s">
        <v>207</v>
      </c>
      <c r="G482" s="87">
        <v>12.94</v>
      </c>
      <c r="H482" s="85"/>
      <c r="I482" s="86">
        <v>461247.99</v>
      </c>
      <c r="J482" s="185">
        <f t="shared" si="66"/>
        <v>40585.550000000003</v>
      </c>
      <c r="K482" s="189">
        <f t="shared" si="67"/>
        <v>525177.02</v>
      </c>
      <c r="L482" s="189"/>
      <c r="M482" s="138"/>
      <c r="N482" s="138"/>
      <c r="O482" s="138"/>
      <c r="S482" s="72"/>
      <c r="T482" s="72"/>
      <c r="U482" s="72"/>
      <c r="V482" s="72"/>
    </row>
    <row r="483" spans="1:22" s="63" customFormat="1" ht="22.5" x14ac:dyDescent="0.25">
      <c r="A483" s="87">
        <v>4.22</v>
      </c>
      <c r="B483" s="81" t="s">
        <v>44</v>
      </c>
      <c r="C483" s="80">
        <v>7.1</v>
      </c>
      <c r="D483" s="131" t="s">
        <v>383</v>
      </c>
      <c r="E483" s="83" t="s">
        <v>384</v>
      </c>
      <c r="F483" s="81" t="s">
        <v>205</v>
      </c>
      <c r="G483" s="88">
        <v>46.195799999999998</v>
      </c>
      <c r="H483" s="85"/>
      <c r="I483" s="86">
        <v>345354.92</v>
      </c>
      <c r="J483" s="185">
        <f t="shared" si="66"/>
        <v>8512.0499999999993</v>
      </c>
      <c r="K483" s="189">
        <f t="shared" si="67"/>
        <v>393220.96</v>
      </c>
      <c r="L483" s="189"/>
      <c r="M483" s="138"/>
      <c r="N483" s="138"/>
      <c r="O483" s="138"/>
      <c r="S483" s="72"/>
      <c r="T483" s="72"/>
      <c r="U483" s="72"/>
      <c r="V483" s="72"/>
    </row>
    <row r="484" spans="1:22" s="63" customFormat="1" ht="15" x14ac:dyDescent="0.25">
      <c r="A484" s="87">
        <v>4.2300000000000004</v>
      </c>
      <c r="B484" s="81" t="s">
        <v>44</v>
      </c>
      <c r="C484" s="82">
        <v>8</v>
      </c>
      <c r="D484" s="131" t="s">
        <v>387</v>
      </c>
      <c r="E484" s="83" t="s">
        <v>388</v>
      </c>
      <c r="F484" s="81" t="s">
        <v>226</v>
      </c>
      <c r="G484" s="89">
        <v>0.67288000000000003</v>
      </c>
      <c r="H484" s="85"/>
      <c r="I484" s="86">
        <v>10254.06</v>
      </c>
      <c r="J484" s="185">
        <f t="shared" si="66"/>
        <v>17351.2</v>
      </c>
      <c r="K484" s="189">
        <f t="shared" si="67"/>
        <v>11675.28</v>
      </c>
      <c r="L484" s="189"/>
      <c r="M484" s="138"/>
      <c r="N484" s="138"/>
      <c r="O484" s="138"/>
      <c r="S484" s="72"/>
      <c r="T484" s="72"/>
      <c r="U484" s="72"/>
      <c r="V484" s="72"/>
    </row>
    <row r="485" spans="1:22" s="63" customFormat="1" ht="22.5" x14ac:dyDescent="0.25">
      <c r="A485" s="87">
        <v>4.24</v>
      </c>
      <c r="B485" s="81" t="s">
        <v>44</v>
      </c>
      <c r="C485" s="80">
        <v>8.1</v>
      </c>
      <c r="D485" s="131" t="s">
        <v>517</v>
      </c>
      <c r="E485" s="83" t="s">
        <v>518</v>
      </c>
      <c r="F485" s="81" t="s">
        <v>370</v>
      </c>
      <c r="G485" s="82">
        <v>1294</v>
      </c>
      <c r="H485" s="85"/>
      <c r="I485" s="86">
        <v>93074.83</v>
      </c>
      <c r="J485" s="185">
        <f t="shared" si="66"/>
        <v>81.900000000000006</v>
      </c>
      <c r="K485" s="189">
        <f t="shared" si="67"/>
        <v>105978.6</v>
      </c>
      <c r="L485" s="189"/>
      <c r="M485" s="138"/>
      <c r="N485" s="138"/>
      <c r="O485" s="138"/>
      <c r="S485" s="72"/>
      <c r="T485" s="72"/>
      <c r="U485" s="72"/>
      <c r="V485" s="72"/>
    </row>
    <row r="486" spans="1:22" s="63" customFormat="1" ht="22.5" x14ac:dyDescent="0.25">
      <c r="A486" s="87">
        <v>4.25</v>
      </c>
      <c r="B486" s="81" t="s">
        <v>44</v>
      </c>
      <c r="C486" s="82">
        <v>9</v>
      </c>
      <c r="D486" s="131" t="s">
        <v>519</v>
      </c>
      <c r="E486" s="83" t="s">
        <v>520</v>
      </c>
      <c r="F486" s="81" t="s">
        <v>207</v>
      </c>
      <c r="G486" s="87">
        <v>12.94</v>
      </c>
      <c r="H486" s="85"/>
      <c r="I486" s="86">
        <v>47525.89</v>
      </c>
      <c r="J486" s="185">
        <f t="shared" si="66"/>
        <v>4181.84</v>
      </c>
      <c r="K486" s="189">
        <f t="shared" si="67"/>
        <v>54113.01</v>
      </c>
      <c r="L486" s="189"/>
      <c r="M486" s="138"/>
      <c r="N486" s="138"/>
      <c r="O486" s="138"/>
      <c r="S486" s="72"/>
      <c r="T486" s="72"/>
      <c r="U486" s="72"/>
      <c r="V486" s="72"/>
    </row>
    <row r="487" spans="1:22" s="63" customFormat="1" ht="15" x14ac:dyDescent="0.25">
      <c r="A487" s="87">
        <v>4.26</v>
      </c>
      <c r="B487" s="81" t="s">
        <v>44</v>
      </c>
      <c r="C487" s="82">
        <v>10</v>
      </c>
      <c r="D487" s="131" t="s">
        <v>521</v>
      </c>
      <c r="E487" s="83" t="s">
        <v>522</v>
      </c>
      <c r="F487" s="81" t="s">
        <v>207</v>
      </c>
      <c r="G487" s="87">
        <v>12.94</v>
      </c>
      <c r="H487" s="85"/>
      <c r="I487" s="86">
        <v>126034.36</v>
      </c>
      <c r="J487" s="185">
        <f t="shared" si="66"/>
        <v>11089.85</v>
      </c>
      <c r="K487" s="189">
        <f t="shared" si="67"/>
        <v>143502.66</v>
      </c>
      <c r="L487" s="189"/>
      <c r="M487" s="138"/>
      <c r="N487" s="138"/>
      <c r="O487" s="138"/>
      <c r="S487" s="72"/>
      <c r="T487" s="72"/>
      <c r="U487" s="72"/>
      <c r="V487" s="72"/>
    </row>
    <row r="488" spans="1:22" s="63" customFormat="1" ht="22.5" x14ac:dyDescent="0.25">
      <c r="A488" s="87">
        <v>4.2699999999999996</v>
      </c>
      <c r="B488" s="81" t="s">
        <v>44</v>
      </c>
      <c r="C488" s="80">
        <v>10.1</v>
      </c>
      <c r="D488" s="131" t="s">
        <v>523</v>
      </c>
      <c r="E488" s="83" t="s">
        <v>3464</v>
      </c>
      <c r="F488" s="81" t="s">
        <v>370</v>
      </c>
      <c r="G488" s="87">
        <v>1501.04</v>
      </c>
      <c r="H488" s="85"/>
      <c r="I488" s="86">
        <v>425190.92</v>
      </c>
      <c r="J488" s="185">
        <f t="shared" si="66"/>
        <v>322.52</v>
      </c>
      <c r="K488" s="189">
        <f t="shared" si="67"/>
        <v>484115.42</v>
      </c>
      <c r="L488" s="189"/>
      <c r="M488" s="138"/>
      <c r="N488" s="138"/>
      <c r="O488" s="138"/>
      <c r="S488" s="72"/>
      <c r="T488" s="72"/>
      <c r="U488" s="72"/>
      <c r="V488" s="72"/>
    </row>
    <row r="489" spans="1:22" s="63" customFormat="1" ht="22.5" x14ac:dyDescent="0.25">
      <c r="A489" s="87">
        <v>4.28</v>
      </c>
      <c r="B489" s="81" t="s">
        <v>44</v>
      </c>
      <c r="C489" s="80">
        <v>10.199999999999999</v>
      </c>
      <c r="D489" s="131" t="s">
        <v>524</v>
      </c>
      <c r="E489" s="83" t="s">
        <v>525</v>
      </c>
      <c r="F489" s="81" t="s">
        <v>226</v>
      </c>
      <c r="G489" s="89">
        <v>0.50466</v>
      </c>
      <c r="H489" s="85"/>
      <c r="I489" s="86">
        <v>157131.07</v>
      </c>
      <c r="J489" s="185">
        <f t="shared" si="66"/>
        <v>354514.79</v>
      </c>
      <c r="K489" s="189">
        <f t="shared" si="67"/>
        <v>178909.43</v>
      </c>
      <c r="L489" s="189"/>
      <c r="M489" s="138"/>
      <c r="N489" s="138"/>
      <c r="O489" s="138"/>
      <c r="S489" s="72"/>
      <c r="T489" s="72"/>
      <c r="U489" s="72"/>
      <c r="V489" s="72"/>
    </row>
    <row r="490" spans="1:22" s="63" customFormat="1" ht="22.5" x14ac:dyDescent="0.25">
      <c r="A490" s="87">
        <v>4.29</v>
      </c>
      <c r="B490" s="81" t="s">
        <v>44</v>
      </c>
      <c r="C490" s="80">
        <v>10.3</v>
      </c>
      <c r="D490" s="131" t="s">
        <v>526</v>
      </c>
      <c r="E490" s="83" t="s">
        <v>3465</v>
      </c>
      <c r="F490" s="81" t="s">
        <v>219</v>
      </c>
      <c r="G490" s="82">
        <v>3882</v>
      </c>
      <c r="H490" s="85"/>
      <c r="I490" s="86">
        <v>21659.21</v>
      </c>
      <c r="J490" s="185">
        <f t="shared" si="66"/>
        <v>6.35</v>
      </c>
      <c r="K490" s="189">
        <f t="shared" si="67"/>
        <v>24650.7</v>
      </c>
      <c r="L490" s="189"/>
      <c r="M490" s="138"/>
      <c r="N490" s="138"/>
      <c r="O490" s="138"/>
      <c r="S490" s="72"/>
      <c r="T490" s="72"/>
      <c r="U490" s="72"/>
      <c r="V490" s="72"/>
    </row>
    <row r="491" spans="1:22" s="128" customFormat="1" ht="12.75" x14ac:dyDescent="0.25">
      <c r="A491" s="237"/>
      <c r="B491" s="125"/>
      <c r="C491" s="236"/>
      <c r="D491" s="77"/>
      <c r="E491" s="126" t="s">
        <v>3255</v>
      </c>
      <c r="F491" s="125"/>
      <c r="G491" s="76"/>
      <c r="H491" s="127"/>
      <c r="I491" s="78"/>
      <c r="J491" s="238"/>
      <c r="K491" s="239"/>
      <c r="L491" s="239"/>
      <c r="M491" s="79"/>
      <c r="N491" s="79"/>
      <c r="O491" s="79"/>
      <c r="S491" s="129"/>
      <c r="T491" s="129"/>
      <c r="U491" s="129"/>
      <c r="V491" s="129"/>
    </row>
    <row r="492" spans="1:22" s="63" customFormat="1" ht="15" x14ac:dyDescent="0.25">
      <c r="A492" s="87">
        <v>4.3</v>
      </c>
      <c r="B492" s="81" t="s">
        <v>44</v>
      </c>
      <c r="C492" s="82">
        <v>11</v>
      </c>
      <c r="D492" s="131" t="s">
        <v>521</v>
      </c>
      <c r="E492" s="83" t="s">
        <v>522</v>
      </c>
      <c r="F492" s="81" t="s">
        <v>207</v>
      </c>
      <c r="G492" s="84">
        <v>1.2090000000000001</v>
      </c>
      <c r="H492" s="85"/>
      <c r="I492" s="86">
        <v>11775.71</v>
      </c>
      <c r="J492" s="185">
        <f>ROUND($I492/$G492*$N$11,2)</f>
        <v>11090.01</v>
      </c>
      <c r="K492" s="189">
        <f>ROUND(G492*J492,2)</f>
        <v>13407.82</v>
      </c>
      <c r="L492" s="189"/>
      <c r="M492" s="138"/>
      <c r="N492" s="138"/>
      <c r="O492" s="138"/>
      <c r="S492" s="72"/>
      <c r="T492" s="72"/>
      <c r="U492" s="72"/>
      <c r="V492" s="72"/>
    </row>
    <row r="493" spans="1:22" s="63" customFormat="1" ht="22.5" x14ac:dyDescent="0.25">
      <c r="A493" s="87">
        <v>4.3099999999999996</v>
      </c>
      <c r="B493" s="81" t="s">
        <v>44</v>
      </c>
      <c r="C493" s="80">
        <v>11.1</v>
      </c>
      <c r="D493" s="131" t="s">
        <v>527</v>
      </c>
      <c r="E493" s="83" t="s">
        <v>3466</v>
      </c>
      <c r="F493" s="81" t="s">
        <v>219</v>
      </c>
      <c r="G493" s="82">
        <v>484</v>
      </c>
      <c r="H493" s="85"/>
      <c r="I493" s="86">
        <v>633238.39</v>
      </c>
      <c r="J493" s="185">
        <f>ROUND($I493/$G493*$N$11,2)</f>
        <v>1489.68</v>
      </c>
      <c r="K493" s="189">
        <f>ROUND(G493*J493,2)</f>
        <v>721005.12</v>
      </c>
      <c r="L493" s="189"/>
      <c r="M493" s="138"/>
      <c r="N493" s="138"/>
      <c r="O493" s="138"/>
      <c r="S493" s="72"/>
      <c r="T493" s="72"/>
      <c r="U493" s="72"/>
      <c r="V493" s="72"/>
    </row>
    <row r="494" spans="1:22" s="128" customFormat="1" ht="12.75" x14ac:dyDescent="0.25">
      <c r="A494" s="237"/>
      <c r="B494" s="125"/>
      <c r="C494" s="236"/>
      <c r="D494" s="77"/>
      <c r="E494" s="126" t="s">
        <v>3256</v>
      </c>
      <c r="F494" s="125"/>
      <c r="G494" s="76"/>
      <c r="H494" s="127"/>
      <c r="I494" s="78"/>
      <c r="J494" s="238"/>
      <c r="K494" s="239"/>
      <c r="L494" s="239"/>
      <c r="M494" s="79"/>
      <c r="N494" s="79"/>
      <c r="O494" s="79"/>
      <c r="S494" s="129"/>
      <c r="T494" s="129"/>
      <c r="U494" s="129"/>
      <c r="V494" s="129"/>
    </row>
    <row r="495" spans="1:22" s="63" customFormat="1" ht="22.5" x14ac:dyDescent="0.25">
      <c r="A495" s="87">
        <v>4.32</v>
      </c>
      <c r="B495" s="81" t="s">
        <v>44</v>
      </c>
      <c r="C495" s="82">
        <v>12</v>
      </c>
      <c r="D495" s="131" t="s">
        <v>528</v>
      </c>
      <c r="E495" s="83" t="s">
        <v>529</v>
      </c>
      <c r="F495" s="81" t="s">
        <v>207</v>
      </c>
      <c r="G495" s="84">
        <v>1.385</v>
      </c>
      <c r="H495" s="85"/>
      <c r="I495" s="86">
        <v>115889.72</v>
      </c>
      <c r="J495" s="185">
        <f>ROUND($I495/$G495*$N$11,2)</f>
        <v>95272.23</v>
      </c>
      <c r="K495" s="189">
        <f>ROUND(G495*J495,2)</f>
        <v>131952.04</v>
      </c>
      <c r="L495" s="189"/>
      <c r="M495" s="138"/>
      <c r="N495" s="138"/>
      <c r="O495" s="138"/>
      <c r="S495" s="72"/>
      <c r="T495" s="72"/>
      <c r="U495" s="72"/>
      <c r="V495" s="72"/>
    </row>
    <row r="496" spans="1:22" s="63" customFormat="1" ht="22.5" x14ac:dyDescent="0.25">
      <c r="A496" s="87">
        <v>4.33</v>
      </c>
      <c r="B496" s="81" t="s">
        <v>44</v>
      </c>
      <c r="C496" s="82">
        <v>13</v>
      </c>
      <c r="D496" s="131" t="s">
        <v>530</v>
      </c>
      <c r="E496" s="83" t="s">
        <v>531</v>
      </c>
      <c r="F496" s="81" t="s">
        <v>354</v>
      </c>
      <c r="G496" s="80">
        <v>2.8</v>
      </c>
      <c r="H496" s="85"/>
      <c r="I496" s="86">
        <v>109925.25</v>
      </c>
      <c r="J496" s="185">
        <f>ROUND($I496/$G496*$N$11,2)</f>
        <v>44700.32</v>
      </c>
      <c r="K496" s="189">
        <f>ROUND(G496*J496,2)</f>
        <v>125160.9</v>
      </c>
      <c r="L496" s="189"/>
      <c r="M496" s="138"/>
      <c r="N496" s="138"/>
      <c r="O496" s="138"/>
      <c r="S496" s="72"/>
      <c r="T496" s="72"/>
      <c r="U496" s="72"/>
      <c r="V496" s="72"/>
    </row>
    <row r="497" spans="1:22" s="63" customFormat="1" ht="22.5" x14ac:dyDescent="0.25">
      <c r="A497" s="87">
        <v>4.34</v>
      </c>
      <c r="B497" s="81" t="s">
        <v>44</v>
      </c>
      <c r="C497" s="80">
        <v>13.1</v>
      </c>
      <c r="D497" s="131" t="s">
        <v>502</v>
      </c>
      <c r="E497" s="83" t="s">
        <v>503</v>
      </c>
      <c r="F497" s="81" t="s">
        <v>370</v>
      </c>
      <c r="G497" s="80">
        <v>324.8</v>
      </c>
      <c r="H497" s="85"/>
      <c r="I497" s="86">
        <v>42801.87</v>
      </c>
      <c r="J497" s="185">
        <f>ROUND($I497/$G497*$N$11,2)</f>
        <v>150.04</v>
      </c>
      <c r="K497" s="189">
        <f>ROUND(G497*J497,2)</f>
        <v>48732.99</v>
      </c>
      <c r="L497" s="189"/>
      <c r="M497" s="138"/>
      <c r="N497" s="138"/>
      <c r="O497" s="138"/>
      <c r="S497" s="72"/>
      <c r="T497" s="72"/>
      <c r="U497" s="72"/>
      <c r="V497" s="72"/>
    </row>
    <row r="498" spans="1:22" s="63" customFormat="1" ht="33.75" x14ac:dyDescent="0.25">
      <c r="A498" s="87">
        <v>4.3499999999999996</v>
      </c>
      <c r="B498" s="81" t="s">
        <v>44</v>
      </c>
      <c r="C498" s="82">
        <v>14</v>
      </c>
      <c r="D498" s="131" t="s">
        <v>532</v>
      </c>
      <c r="E498" s="83" t="s">
        <v>533</v>
      </c>
      <c r="F498" s="81" t="s">
        <v>207</v>
      </c>
      <c r="G498" s="84">
        <v>0.93899999999999995</v>
      </c>
      <c r="H498" s="85"/>
      <c r="I498" s="86">
        <v>157432.42000000001</v>
      </c>
      <c r="J498" s="185">
        <f>ROUND($I498/$G498*$N$11,2)</f>
        <v>190897.29</v>
      </c>
      <c r="K498" s="189">
        <f>ROUND(G498*J498,2)</f>
        <v>179252.56</v>
      </c>
      <c r="L498" s="189"/>
      <c r="M498" s="138"/>
      <c r="N498" s="138"/>
      <c r="O498" s="138"/>
      <c r="S498" s="72"/>
      <c r="T498" s="72"/>
      <c r="U498" s="72"/>
      <c r="V498" s="72"/>
    </row>
    <row r="499" spans="1:22" s="128" customFormat="1" ht="12.75" x14ac:dyDescent="0.25">
      <c r="A499" s="237"/>
      <c r="B499" s="125"/>
      <c r="C499" s="76"/>
      <c r="D499" s="77"/>
      <c r="E499" s="126" t="s">
        <v>3257</v>
      </c>
      <c r="F499" s="125"/>
      <c r="G499" s="242"/>
      <c r="H499" s="127"/>
      <c r="I499" s="78"/>
      <c r="J499" s="238"/>
      <c r="K499" s="239"/>
      <c r="L499" s="239"/>
      <c r="M499" s="79"/>
      <c r="N499" s="79"/>
      <c r="O499" s="79"/>
      <c r="S499" s="129"/>
      <c r="T499" s="129"/>
      <c r="U499" s="129"/>
      <c r="V499" s="129"/>
    </row>
    <row r="500" spans="1:22" s="63" customFormat="1" ht="15" x14ac:dyDescent="0.25">
      <c r="A500" s="87">
        <v>4.3600000000000003</v>
      </c>
      <c r="B500" s="81" t="s">
        <v>44</v>
      </c>
      <c r="C500" s="82">
        <v>15</v>
      </c>
      <c r="D500" s="131" t="s">
        <v>534</v>
      </c>
      <c r="E500" s="83" t="s">
        <v>535</v>
      </c>
      <c r="F500" s="81" t="s">
        <v>219</v>
      </c>
      <c r="G500" s="82">
        <v>6</v>
      </c>
      <c r="H500" s="85"/>
      <c r="I500" s="86">
        <v>1153.78</v>
      </c>
      <c r="J500" s="185">
        <f t="shared" ref="J500:J510" si="68">ROUND($I500/$G500*$N$11,2)</f>
        <v>218.95</v>
      </c>
      <c r="K500" s="189">
        <f t="shared" ref="K500:K510" si="69">ROUND(G500*J500,2)</f>
        <v>1313.7</v>
      </c>
      <c r="L500" s="189"/>
      <c r="M500" s="138"/>
      <c r="N500" s="138"/>
      <c r="O500" s="138"/>
      <c r="S500" s="72"/>
      <c r="T500" s="72"/>
      <c r="U500" s="72"/>
      <c r="V500" s="72"/>
    </row>
    <row r="501" spans="1:22" s="63" customFormat="1" ht="22.5" x14ac:dyDescent="0.25">
      <c r="A501" s="87">
        <v>4.37</v>
      </c>
      <c r="B501" s="81" t="s">
        <v>44</v>
      </c>
      <c r="C501" s="80">
        <v>15.1</v>
      </c>
      <c r="D501" s="131" t="s">
        <v>536</v>
      </c>
      <c r="E501" s="83" t="s">
        <v>537</v>
      </c>
      <c r="F501" s="81" t="s">
        <v>219</v>
      </c>
      <c r="G501" s="82">
        <v>6</v>
      </c>
      <c r="H501" s="85"/>
      <c r="I501" s="86">
        <v>4717.9399999999996</v>
      </c>
      <c r="J501" s="185">
        <f t="shared" si="68"/>
        <v>895.31</v>
      </c>
      <c r="K501" s="189">
        <f t="shared" si="69"/>
        <v>5371.86</v>
      </c>
      <c r="L501" s="189"/>
      <c r="M501" s="138"/>
      <c r="N501" s="138"/>
      <c r="O501" s="138"/>
      <c r="S501" s="72"/>
      <c r="T501" s="72"/>
      <c r="U501" s="72"/>
      <c r="V501" s="72"/>
    </row>
    <row r="502" spans="1:22" s="63" customFormat="1" ht="22.5" x14ac:dyDescent="0.25">
      <c r="A502" s="87">
        <v>4.38</v>
      </c>
      <c r="B502" s="81" t="s">
        <v>44</v>
      </c>
      <c r="C502" s="80">
        <v>15.2</v>
      </c>
      <c r="D502" s="131" t="s">
        <v>538</v>
      </c>
      <c r="E502" s="83" t="s">
        <v>539</v>
      </c>
      <c r="F502" s="81" t="s">
        <v>219</v>
      </c>
      <c r="G502" s="82">
        <v>6</v>
      </c>
      <c r="H502" s="85"/>
      <c r="I502" s="86">
        <v>5777.15</v>
      </c>
      <c r="J502" s="185">
        <f t="shared" si="68"/>
        <v>1096.31</v>
      </c>
      <c r="K502" s="189">
        <f t="shared" si="69"/>
        <v>6577.86</v>
      </c>
      <c r="L502" s="189"/>
      <c r="M502" s="138"/>
      <c r="N502" s="138"/>
      <c r="O502" s="138"/>
      <c r="S502" s="72"/>
      <c r="T502" s="72"/>
      <c r="U502" s="72"/>
      <c r="V502" s="72"/>
    </row>
    <row r="503" spans="1:22" s="63" customFormat="1" ht="15" x14ac:dyDescent="0.25">
      <c r="A503" s="87">
        <v>4.3899999999999997</v>
      </c>
      <c r="B503" s="81" t="s">
        <v>44</v>
      </c>
      <c r="C503" s="82">
        <v>16</v>
      </c>
      <c r="D503" s="131" t="s">
        <v>540</v>
      </c>
      <c r="E503" s="83" t="s">
        <v>541</v>
      </c>
      <c r="F503" s="81" t="s">
        <v>334</v>
      </c>
      <c r="G503" s="80">
        <v>43.2</v>
      </c>
      <c r="H503" s="85"/>
      <c r="I503" s="86">
        <v>8512.9699999999993</v>
      </c>
      <c r="J503" s="185">
        <f t="shared" si="68"/>
        <v>224.37</v>
      </c>
      <c r="K503" s="189">
        <f t="shared" si="69"/>
        <v>9692.7800000000007</v>
      </c>
      <c r="L503" s="189"/>
      <c r="M503" s="138"/>
      <c r="N503" s="138"/>
      <c r="O503" s="138"/>
      <c r="S503" s="72"/>
      <c r="T503" s="72"/>
      <c r="U503" s="72"/>
      <c r="V503" s="72"/>
    </row>
    <row r="504" spans="1:22" s="63" customFormat="1" ht="22.5" x14ac:dyDescent="0.25">
      <c r="A504" s="87">
        <v>4.4000000000000004</v>
      </c>
      <c r="B504" s="81" t="s">
        <v>44</v>
      </c>
      <c r="C504" s="80">
        <v>16.100000000000001</v>
      </c>
      <c r="D504" s="131" t="s">
        <v>542</v>
      </c>
      <c r="E504" s="83" t="s">
        <v>543</v>
      </c>
      <c r="F504" s="81" t="s">
        <v>216</v>
      </c>
      <c r="G504" s="87">
        <v>-8.64</v>
      </c>
      <c r="H504" s="85"/>
      <c r="I504" s="86">
        <v>-2992.2</v>
      </c>
      <c r="J504" s="185">
        <f t="shared" si="68"/>
        <v>394.32</v>
      </c>
      <c r="K504" s="189">
        <f t="shared" si="69"/>
        <v>-3406.92</v>
      </c>
      <c r="L504" s="189"/>
      <c r="M504" s="138"/>
      <c r="N504" s="138"/>
      <c r="O504" s="138"/>
      <c r="S504" s="72"/>
      <c r="T504" s="72"/>
      <c r="U504" s="72"/>
      <c r="V504" s="72"/>
    </row>
    <row r="505" spans="1:22" s="63" customFormat="1" ht="22.5" x14ac:dyDescent="0.25">
      <c r="A505" s="87">
        <v>4.41</v>
      </c>
      <c r="B505" s="81" t="s">
        <v>44</v>
      </c>
      <c r="C505" s="80">
        <v>16.2</v>
      </c>
      <c r="D505" s="131" t="s">
        <v>544</v>
      </c>
      <c r="E505" s="83" t="s">
        <v>545</v>
      </c>
      <c r="F505" s="81" t="s">
        <v>219</v>
      </c>
      <c r="G505" s="80">
        <v>14.4</v>
      </c>
      <c r="H505" s="85"/>
      <c r="I505" s="86">
        <v>39515.019999999997</v>
      </c>
      <c r="J505" s="185">
        <f t="shared" si="68"/>
        <v>3124.43</v>
      </c>
      <c r="K505" s="189">
        <f t="shared" si="69"/>
        <v>44991.79</v>
      </c>
      <c r="L505" s="189"/>
      <c r="M505" s="138"/>
      <c r="N505" s="138"/>
      <c r="O505" s="138"/>
      <c r="S505" s="72"/>
      <c r="T505" s="72"/>
      <c r="U505" s="72"/>
      <c r="V505" s="72"/>
    </row>
    <row r="506" spans="1:22" s="63" customFormat="1" ht="22.5" x14ac:dyDescent="0.25">
      <c r="A506" s="87">
        <v>4.42</v>
      </c>
      <c r="B506" s="81" t="s">
        <v>44</v>
      </c>
      <c r="C506" s="80">
        <v>16.3</v>
      </c>
      <c r="D506" s="131" t="s">
        <v>546</v>
      </c>
      <c r="E506" s="83" t="s">
        <v>547</v>
      </c>
      <c r="F506" s="81" t="s">
        <v>219</v>
      </c>
      <c r="G506" s="82">
        <v>42</v>
      </c>
      <c r="H506" s="85"/>
      <c r="I506" s="86">
        <v>21564.55</v>
      </c>
      <c r="J506" s="185">
        <f t="shared" si="68"/>
        <v>584.6</v>
      </c>
      <c r="K506" s="189">
        <f t="shared" si="69"/>
        <v>24553.200000000001</v>
      </c>
      <c r="L506" s="189"/>
      <c r="M506" s="138"/>
      <c r="N506" s="138"/>
      <c r="O506" s="138"/>
      <c r="S506" s="72"/>
      <c r="T506" s="72"/>
      <c r="U506" s="72"/>
      <c r="V506" s="72"/>
    </row>
    <row r="507" spans="1:22" s="63" customFormat="1" ht="22.5" x14ac:dyDescent="0.25">
      <c r="A507" s="87">
        <v>4.43</v>
      </c>
      <c r="B507" s="81" t="s">
        <v>44</v>
      </c>
      <c r="C507" s="80">
        <v>16.399999999999999</v>
      </c>
      <c r="D507" s="131" t="s">
        <v>548</v>
      </c>
      <c r="E507" s="83" t="s">
        <v>3467</v>
      </c>
      <c r="F507" s="81" t="s">
        <v>219</v>
      </c>
      <c r="G507" s="82">
        <v>12</v>
      </c>
      <c r="H507" s="85"/>
      <c r="I507" s="86">
        <v>5054.67</v>
      </c>
      <c r="J507" s="185">
        <f t="shared" si="68"/>
        <v>479.6</v>
      </c>
      <c r="K507" s="189">
        <f t="shared" si="69"/>
        <v>5755.2</v>
      </c>
      <c r="L507" s="189"/>
      <c r="M507" s="138"/>
      <c r="N507" s="138"/>
      <c r="O507" s="138"/>
      <c r="S507" s="72"/>
      <c r="T507" s="72"/>
      <c r="U507" s="72"/>
      <c r="V507" s="72"/>
    </row>
    <row r="508" spans="1:22" s="63" customFormat="1" ht="15" x14ac:dyDescent="0.25">
      <c r="A508" s="87">
        <v>4.4400000000000004</v>
      </c>
      <c r="B508" s="81" t="s">
        <v>44</v>
      </c>
      <c r="C508" s="82">
        <v>17</v>
      </c>
      <c r="D508" s="131" t="s">
        <v>549</v>
      </c>
      <c r="E508" s="83" t="s">
        <v>550</v>
      </c>
      <c r="F508" s="81" t="s">
        <v>219</v>
      </c>
      <c r="G508" s="82">
        <v>12</v>
      </c>
      <c r="H508" s="85"/>
      <c r="I508" s="86">
        <v>1567.51</v>
      </c>
      <c r="J508" s="185">
        <f t="shared" si="68"/>
        <v>148.72999999999999</v>
      </c>
      <c r="K508" s="189">
        <f t="shared" si="69"/>
        <v>1784.76</v>
      </c>
      <c r="L508" s="189"/>
      <c r="M508" s="138"/>
      <c r="N508" s="138"/>
      <c r="O508" s="138"/>
      <c r="S508" s="72"/>
      <c r="T508" s="72"/>
      <c r="U508" s="72"/>
      <c r="V508" s="72"/>
    </row>
    <row r="509" spans="1:22" s="63" customFormat="1" ht="22.5" x14ac:dyDescent="0.25">
      <c r="A509" s="87">
        <v>4.45</v>
      </c>
      <c r="B509" s="81" t="s">
        <v>44</v>
      </c>
      <c r="C509" s="80">
        <v>17.100000000000001</v>
      </c>
      <c r="D509" s="131" t="s">
        <v>551</v>
      </c>
      <c r="E509" s="83" t="s">
        <v>552</v>
      </c>
      <c r="F509" s="81" t="s">
        <v>219</v>
      </c>
      <c r="G509" s="82">
        <v>6</v>
      </c>
      <c r="H509" s="85"/>
      <c r="I509" s="86">
        <v>4910.82</v>
      </c>
      <c r="J509" s="185">
        <f t="shared" si="68"/>
        <v>931.91</v>
      </c>
      <c r="K509" s="189">
        <f t="shared" si="69"/>
        <v>5591.46</v>
      </c>
      <c r="L509" s="189"/>
      <c r="M509" s="138"/>
      <c r="N509" s="138"/>
      <c r="O509" s="138"/>
      <c r="S509" s="72"/>
      <c r="T509" s="72"/>
      <c r="U509" s="72"/>
      <c r="V509" s="72"/>
    </row>
    <row r="510" spans="1:22" s="63" customFormat="1" ht="22.5" x14ac:dyDescent="0.25">
      <c r="A510" s="87">
        <v>4.46</v>
      </c>
      <c r="B510" s="81" t="s">
        <v>44</v>
      </c>
      <c r="C510" s="80">
        <v>17.2</v>
      </c>
      <c r="D510" s="131" t="s">
        <v>553</v>
      </c>
      <c r="E510" s="83" t="s">
        <v>554</v>
      </c>
      <c r="F510" s="81" t="s">
        <v>219</v>
      </c>
      <c r="G510" s="82">
        <v>6</v>
      </c>
      <c r="H510" s="85"/>
      <c r="I510" s="86">
        <v>5391.4</v>
      </c>
      <c r="J510" s="185">
        <f t="shared" si="68"/>
        <v>1023.11</v>
      </c>
      <c r="K510" s="189">
        <f t="shared" si="69"/>
        <v>6138.66</v>
      </c>
      <c r="L510" s="189"/>
      <c r="M510" s="138"/>
      <c r="N510" s="138"/>
      <c r="O510" s="138"/>
      <c r="S510" s="72"/>
      <c r="T510" s="72"/>
      <c r="U510" s="72"/>
      <c r="V510" s="72"/>
    </row>
    <row r="511" spans="1:22" s="128" customFormat="1" ht="12.75" x14ac:dyDescent="0.25">
      <c r="A511" s="237"/>
      <c r="B511" s="125"/>
      <c r="C511" s="236"/>
      <c r="D511" s="77"/>
      <c r="E511" s="126" t="s">
        <v>3258</v>
      </c>
      <c r="F511" s="125"/>
      <c r="G511" s="76"/>
      <c r="H511" s="127"/>
      <c r="I511" s="78"/>
      <c r="J511" s="238"/>
      <c r="K511" s="239"/>
      <c r="L511" s="239"/>
      <c r="M511" s="79"/>
      <c r="N511" s="79"/>
      <c r="O511" s="79"/>
      <c r="S511" s="129"/>
      <c r="T511" s="129"/>
      <c r="U511" s="129"/>
      <c r="V511" s="129"/>
    </row>
    <row r="512" spans="1:22" s="63" customFormat="1" ht="33.75" x14ac:dyDescent="0.25">
      <c r="A512" s="87">
        <v>4.47</v>
      </c>
      <c r="B512" s="81" t="s">
        <v>44</v>
      </c>
      <c r="C512" s="82">
        <v>18</v>
      </c>
      <c r="D512" s="131" t="s">
        <v>555</v>
      </c>
      <c r="E512" s="83" t="s">
        <v>556</v>
      </c>
      <c r="F512" s="81" t="s">
        <v>207</v>
      </c>
      <c r="G512" s="84">
        <v>0.98499999999999999</v>
      </c>
      <c r="H512" s="85"/>
      <c r="I512" s="86">
        <v>179310.49</v>
      </c>
      <c r="J512" s="185">
        <f>ROUND($I512/$G512*$N$11,2)</f>
        <v>207272</v>
      </c>
      <c r="K512" s="189">
        <f>ROUND(G512*J512,2)</f>
        <v>204162.92</v>
      </c>
      <c r="L512" s="189"/>
      <c r="M512" s="138"/>
      <c r="N512" s="138"/>
      <c r="O512" s="138"/>
      <c r="S512" s="72"/>
      <c r="T512" s="72"/>
      <c r="U512" s="72"/>
      <c r="V512" s="72"/>
    </row>
    <row r="513" spans="1:22" s="63" customFormat="1" ht="22.5" x14ac:dyDescent="0.25">
      <c r="A513" s="87">
        <v>4.4800000000000004</v>
      </c>
      <c r="B513" s="81" t="s">
        <v>44</v>
      </c>
      <c r="C513" s="80">
        <v>18.100000000000001</v>
      </c>
      <c r="D513" s="131" t="s">
        <v>557</v>
      </c>
      <c r="E513" s="83" t="s">
        <v>558</v>
      </c>
      <c r="F513" s="81" t="s">
        <v>219</v>
      </c>
      <c r="G513" s="87">
        <v>-344.75</v>
      </c>
      <c r="H513" s="85"/>
      <c r="I513" s="86">
        <v>-43471.6</v>
      </c>
      <c r="J513" s="185">
        <f>ROUND($I513/$G513*$N$11,2)</f>
        <v>143.57</v>
      </c>
      <c r="K513" s="189">
        <f>ROUND(G513*J513,2)</f>
        <v>-49495.76</v>
      </c>
      <c r="L513" s="189"/>
      <c r="M513" s="138"/>
      <c r="N513" s="138"/>
      <c r="O513" s="138"/>
      <c r="S513" s="72"/>
      <c r="T513" s="72"/>
      <c r="U513" s="72"/>
      <c r="V513" s="72"/>
    </row>
    <row r="514" spans="1:22" s="63" customFormat="1" ht="22.5" x14ac:dyDescent="0.25">
      <c r="A514" s="87">
        <v>4.49</v>
      </c>
      <c r="B514" s="81" t="s">
        <v>44</v>
      </c>
      <c r="C514" s="80">
        <v>18.2</v>
      </c>
      <c r="D514" s="131" t="s">
        <v>559</v>
      </c>
      <c r="E514" s="83" t="s">
        <v>3468</v>
      </c>
      <c r="F514" s="81" t="s">
        <v>370</v>
      </c>
      <c r="G514" s="87">
        <v>116.23</v>
      </c>
      <c r="H514" s="85"/>
      <c r="I514" s="86">
        <v>227731.51</v>
      </c>
      <c r="J514" s="185">
        <f>ROUND($I514/$G514*$N$11,2)</f>
        <v>2230.88</v>
      </c>
      <c r="K514" s="189">
        <f>ROUND(G514*J514,2)</f>
        <v>259295.18</v>
      </c>
      <c r="L514" s="189"/>
      <c r="M514" s="138"/>
      <c r="N514" s="138"/>
      <c r="O514" s="138"/>
      <c r="S514" s="72"/>
      <c r="T514" s="72"/>
      <c r="U514" s="72"/>
      <c r="V514" s="72"/>
    </row>
    <row r="515" spans="1:22" s="128" customFormat="1" ht="12.75" x14ac:dyDescent="0.25">
      <c r="A515" s="237"/>
      <c r="B515" s="125"/>
      <c r="C515" s="236"/>
      <c r="D515" s="77"/>
      <c r="E515" s="126" t="s">
        <v>3259</v>
      </c>
      <c r="F515" s="125"/>
      <c r="G515" s="237"/>
      <c r="H515" s="127"/>
      <c r="I515" s="78"/>
      <c r="J515" s="238"/>
      <c r="K515" s="239"/>
      <c r="L515" s="239"/>
      <c r="M515" s="79"/>
      <c r="N515" s="79"/>
      <c r="O515" s="79"/>
      <c r="S515" s="129"/>
      <c r="T515" s="129"/>
      <c r="U515" s="129"/>
      <c r="V515" s="129"/>
    </row>
    <row r="516" spans="1:22" s="63" customFormat="1" ht="15" x14ac:dyDescent="0.25">
      <c r="A516" s="87">
        <v>4.5</v>
      </c>
      <c r="B516" s="81" t="s">
        <v>44</v>
      </c>
      <c r="C516" s="82">
        <v>19</v>
      </c>
      <c r="D516" s="131" t="s">
        <v>560</v>
      </c>
      <c r="E516" s="83" t="s">
        <v>561</v>
      </c>
      <c r="F516" s="81" t="s">
        <v>354</v>
      </c>
      <c r="G516" s="84">
        <v>0.23200000000000001</v>
      </c>
      <c r="H516" s="85"/>
      <c r="I516" s="86">
        <v>17861.79</v>
      </c>
      <c r="J516" s="185">
        <f t="shared" ref="J516:J529" si="70">ROUND($I516/$G516*$N$11,2)</f>
        <v>87661.35</v>
      </c>
      <c r="K516" s="189">
        <f t="shared" ref="K516:K529" si="71">ROUND(G516*J516,2)</f>
        <v>20337.43</v>
      </c>
      <c r="L516" s="189"/>
      <c r="M516" s="138"/>
      <c r="N516" s="138"/>
      <c r="O516" s="138"/>
      <c r="S516" s="72"/>
      <c r="T516" s="72"/>
      <c r="U516" s="72"/>
      <c r="V516" s="72"/>
    </row>
    <row r="517" spans="1:22" s="63" customFormat="1" ht="22.5" x14ac:dyDescent="0.25">
      <c r="A517" s="87">
        <v>4.51</v>
      </c>
      <c r="B517" s="81" t="s">
        <v>44</v>
      </c>
      <c r="C517" s="80">
        <v>19.100000000000001</v>
      </c>
      <c r="D517" s="131" t="s">
        <v>286</v>
      </c>
      <c r="E517" s="83" t="s">
        <v>287</v>
      </c>
      <c r="F517" s="81" t="s">
        <v>226</v>
      </c>
      <c r="G517" s="90">
        <v>-0.104864</v>
      </c>
      <c r="H517" s="85"/>
      <c r="I517" s="86">
        <v>-7968.91</v>
      </c>
      <c r="J517" s="185">
        <f t="shared" si="70"/>
        <v>86525.41</v>
      </c>
      <c r="K517" s="189">
        <f t="shared" si="71"/>
        <v>-9073.4</v>
      </c>
      <c r="L517" s="189"/>
      <c r="M517" s="138"/>
      <c r="N517" s="138"/>
      <c r="O517" s="138"/>
      <c r="S517" s="72"/>
      <c r="T517" s="72"/>
      <c r="U517" s="72"/>
      <c r="V517" s="72"/>
    </row>
    <row r="518" spans="1:22" s="63" customFormat="1" ht="22.5" x14ac:dyDescent="0.25">
      <c r="A518" s="87">
        <v>4.5199999999999996</v>
      </c>
      <c r="B518" s="81" t="s">
        <v>44</v>
      </c>
      <c r="C518" s="80">
        <v>19.2</v>
      </c>
      <c r="D518" s="131" t="s">
        <v>562</v>
      </c>
      <c r="E518" s="83" t="s">
        <v>563</v>
      </c>
      <c r="F518" s="81" t="s">
        <v>219</v>
      </c>
      <c r="G518" s="82">
        <v>8</v>
      </c>
      <c r="H518" s="85"/>
      <c r="I518" s="86">
        <v>15661.48</v>
      </c>
      <c r="J518" s="185">
        <f t="shared" si="70"/>
        <v>2229.02</v>
      </c>
      <c r="K518" s="189">
        <f t="shared" si="71"/>
        <v>17832.16</v>
      </c>
      <c r="L518" s="189"/>
      <c r="M518" s="138"/>
      <c r="N518" s="138"/>
      <c r="O518" s="138"/>
      <c r="S518" s="72"/>
      <c r="T518" s="72"/>
      <c r="U518" s="72"/>
      <c r="V518" s="72"/>
    </row>
    <row r="519" spans="1:22" s="63" customFormat="1" ht="22.5" x14ac:dyDescent="0.25">
      <c r="A519" s="87">
        <v>4.53</v>
      </c>
      <c r="B519" s="81" t="s">
        <v>44</v>
      </c>
      <c r="C519" s="80">
        <v>19.3</v>
      </c>
      <c r="D519" s="131" t="s">
        <v>564</v>
      </c>
      <c r="E519" s="83" t="s">
        <v>565</v>
      </c>
      <c r="F519" s="81" t="s">
        <v>566</v>
      </c>
      <c r="G519" s="80">
        <v>0.7</v>
      </c>
      <c r="H519" s="85"/>
      <c r="I519" s="86">
        <v>2920.28</v>
      </c>
      <c r="J519" s="185">
        <f t="shared" si="70"/>
        <v>4750.04</v>
      </c>
      <c r="K519" s="189">
        <f t="shared" si="71"/>
        <v>3325.03</v>
      </c>
      <c r="L519" s="189"/>
      <c r="M519" s="138"/>
      <c r="N519" s="138"/>
      <c r="O519" s="138"/>
      <c r="S519" s="72"/>
      <c r="T519" s="72"/>
      <c r="U519" s="72"/>
      <c r="V519" s="72"/>
    </row>
    <row r="520" spans="1:22" s="63" customFormat="1" ht="22.5" x14ac:dyDescent="0.25">
      <c r="A520" s="87">
        <v>4.54</v>
      </c>
      <c r="B520" s="81" t="s">
        <v>44</v>
      </c>
      <c r="C520" s="80">
        <v>19.399999999999999</v>
      </c>
      <c r="D520" s="131" t="s">
        <v>567</v>
      </c>
      <c r="E520" s="83" t="s">
        <v>568</v>
      </c>
      <c r="F520" s="81" t="s">
        <v>566</v>
      </c>
      <c r="G520" s="80">
        <v>0.8</v>
      </c>
      <c r="H520" s="85"/>
      <c r="I520" s="86">
        <v>2824.55</v>
      </c>
      <c r="J520" s="185">
        <f t="shared" si="70"/>
        <v>4020.04</v>
      </c>
      <c r="K520" s="189">
        <f t="shared" si="71"/>
        <v>3216.03</v>
      </c>
      <c r="L520" s="189"/>
      <c r="M520" s="138"/>
      <c r="N520" s="138"/>
      <c r="O520" s="138"/>
      <c r="S520" s="72"/>
      <c r="T520" s="72"/>
      <c r="U520" s="72"/>
      <c r="V520" s="72"/>
    </row>
    <row r="521" spans="1:22" s="63" customFormat="1" ht="22.5" x14ac:dyDescent="0.25">
      <c r="A521" s="87">
        <v>4.55</v>
      </c>
      <c r="B521" s="81" t="s">
        <v>44</v>
      </c>
      <c r="C521" s="80">
        <v>19.5</v>
      </c>
      <c r="D521" s="131" t="s">
        <v>569</v>
      </c>
      <c r="E521" s="83" t="s">
        <v>570</v>
      </c>
      <c r="F521" s="81" t="s">
        <v>219</v>
      </c>
      <c r="G521" s="82">
        <v>23</v>
      </c>
      <c r="H521" s="85"/>
      <c r="I521" s="86">
        <v>8490.26</v>
      </c>
      <c r="J521" s="185">
        <f t="shared" si="70"/>
        <v>420.3</v>
      </c>
      <c r="K521" s="189">
        <f t="shared" si="71"/>
        <v>9666.9</v>
      </c>
      <c r="L521" s="189"/>
      <c r="M521" s="138"/>
      <c r="N521" s="138"/>
      <c r="O521" s="138"/>
      <c r="S521" s="72"/>
      <c r="T521" s="72"/>
      <c r="U521" s="72"/>
      <c r="V521" s="72"/>
    </row>
    <row r="522" spans="1:22" s="63" customFormat="1" ht="15" x14ac:dyDescent="0.25">
      <c r="A522" s="87">
        <v>4.5599999999999996</v>
      </c>
      <c r="B522" s="81" t="s">
        <v>44</v>
      </c>
      <c r="C522" s="82">
        <v>20</v>
      </c>
      <c r="D522" s="131" t="s">
        <v>534</v>
      </c>
      <c r="E522" s="83" t="s">
        <v>535</v>
      </c>
      <c r="F522" s="81" t="s">
        <v>219</v>
      </c>
      <c r="G522" s="82">
        <v>4</v>
      </c>
      <c r="H522" s="85"/>
      <c r="I522" s="86">
        <v>769.2</v>
      </c>
      <c r="J522" s="185">
        <f t="shared" si="70"/>
        <v>218.95</v>
      </c>
      <c r="K522" s="189">
        <f t="shared" si="71"/>
        <v>875.8</v>
      </c>
      <c r="L522" s="189"/>
      <c r="M522" s="138"/>
      <c r="N522" s="138"/>
      <c r="O522" s="138"/>
      <c r="S522" s="72"/>
      <c r="T522" s="72"/>
      <c r="U522" s="72"/>
      <c r="V522" s="72"/>
    </row>
    <row r="523" spans="1:22" s="63" customFormat="1" ht="22.5" x14ac:dyDescent="0.25">
      <c r="A523" s="87">
        <v>4.57</v>
      </c>
      <c r="B523" s="81" t="s">
        <v>44</v>
      </c>
      <c r="C523" s="80">
        <v>20.100000000000001</v>
      </c>
      <c r="D523" s="131" t="s">
        <v>536</v>
      </c>
      <c r="E523" s="83" t="s">
        <v>537</v>
      </c>
      <c r="F523" s="81" t="s">
        <v>219</v>
      </c>
      <c r="G523" s="82">
        <v>4</v>
      </c>
      <c r="H523" s="85"/>
      <c r="I523" s="86">
        <v>3145.3</v>
      </c>
      <c r="J523" s="185">
        <f t="shared" si="70"/>
        <v>895.31</v>
      </c>
      <c r="K523" s="189">
        <f t="shared" si="71"/>
        <v>3581.24</v>
      </c>
      <c r="L523" s="189"/>
      <c r="M523" s="138"/>
      <c r="N523" s="138"/>
      <c r="O523" s="138"/>
      <c r="S523" s="72"/>
      <c r="T523" s="72"/>
      <c r="U523" s="72"/>
      <c r="V523" s="72"/>
    </row>
    <row r="524" spans="1:22" s="63" customFormat="1" ht="22.5" x14ac:dyDescent="0.25">
      <c r="A524" s="87">
        <v>4.58</v>
      </c>
      <c r="B524" s="81" t="s">
        <v>44</v>
      </c>
      <c r="C524" s="80">
        <v>20.2</v>
      </c>
      <c r="D524" s="131" t="s">
        <v>538</v>
      </c>
      <c r="E524" s="83" t="s">
        <v>539</v>
      </c>
      <c r="F524" s="81" t="s">
        <v>219</v>
      </c>
      <c r="G524" s="82">
        <v>4</v>
      </c>
      <c r="H524" s="85"/>
      <c r="I524" s="86">
        <v>3851.43</v>
      </c>
      <c r="J524" s="185">
        <f t="shared" si="70"/>
        <v>1096.31</v>
      </c>
      <c r="K524" s="189">
        <f t="shared" si="71"/>
        <v>4385.24</v>
      </c>
      <c r="L524" s="189"/>
      <c r="M524" s="138"/>
      <c r="N524" s="138"/>
      <c r="O524" s="138"/>
      <c r="S524" s="72"/>
      <c r="T524" s="72"/>
      <c r="U524" s="72"/>
      <c r="V524" s="72"/>
    </row>
    <row r="525" spans="1:22" s="63" customFormat="1" ht="15" x14ac:dyDescent="0.25">
      <c r="A525" s="87">
        <v>4.59</v>
      </c>
      <c r="B525" s="81" t="s">
        <v>44</v>
      </c>
      <c r="C525" s="82">
        <v>21</v>
      </c>
      <c r="D525" s="131" t="s">
        <v>540</v>
      </c>
      <c r="E525" s="83" t="s">
        <v>541</v>
      </c>
      <c r="F525" s="81" t="s">
        <v>334</v>
      </c>
      <c r="G525" s="82">
        <v>21</v>
      </c>
      <c r="H525" s="85"/>
      <c r="I525" s="86">
        <v>4138</v>
      </c>
      <c r="J525" s="185">
        <f t="shared" si="70"/>
        <v>224.36</v>
      </c>
      <c r="K525" s="189">
        <f t="shared" si="71"/>
        <v>4711.5600000000004</v>
      </c>
      <c r="L525" s="189"/>
      <c r="M525" s="138"/>
      <c r="N525" s="138"/>
      <c r="O525" s="138"/>
      <c r="S525" s="72"/>
      <c r="T525" s="72"/>
      <c r="U525" s="72"/>
      <c r="V525" s="72"/>
    </row>
    <row r="526" spans="1:22" s="63" customFormat="1" ht="22.5" x14ac:dyDescent="0.25">
      <c r="A526" s="87">
        <v>4.5999999999999996</v>
      </c>
      <c r="B526" s="81" t="s">
        <v>44</v>
      </c>
      <c r="C526" s="80">
        <v>21.1</v>
      </c>
      <c r="D526" s="131" t="s">
        <v>544</v>
      </c>
      <c r="E526" s="83" t="s">
        <v>545</v>
      </c>
      <c r="F526" s="81" t="s">
        <v>219</v>
      </c>
      <c r="G526" s="82">
        <v>7</v>
      </c>
      <c r="H526" s="85"/>
      <c r="I526" s="86">
        <v>19208.68</v>
      </c>
      <c r="J526" s="185">
        <f t="shared" si="70"/>
        <v>3124.43</v>
      </c>
      <c r="K526" s="189">
        <f t="shared" si="71"/>
        <v>21871.01</v>
      </c>
      <c r="L526" s="189"/>
      <c r="M526" s="138"/>
      <c r="N526" s="138"/>
      <c r="O526" s="138"/>
      <c r="S526" s="72"/>
      <c r="T526" s="72"/>
      <c r="U526" s="72"/>
      <c r="V526" s="72"/>
    </row>
    <row r="527" spans="1:22" s="63" customFormat="1" ht="22.5" x14ac:dyDescent="0.25">
      <c r="A527" s="87">
        <v>4.6100000000000003</v>
      </c>
      <c r="B527" s="81" t="s">
        <v>44</v>
      </c>
      <c r="C527" s="80">
        <v>21.2</v>
      </c>
      <c r="D527" s="131" t="s">
        <v>546</v>
      </c>
      <c r="E527" s="83" t="s">
        <v>547</v>
      </c>
      <c r="F527" s="81" t="s">
        <v>219</v>
      </c>
      <c r="G527" s="82">
        <v>21</v>
      </c>
      <c r="H527" s="85"/>
      <c r="I527" s="86">
        <v>10782.27</v>
      </c>
      <c r="J527" s="185">
        <f t="shared" si="70"/>
        <v>584.6</v>
      </c>
      <c r="K527" s="189">
        <f t="shared" si="71"/>
        <v>12276.6</v>
      </c>
      <c r="L527" s="189"/>
      <c r="M527" s="138"/>
      <c r="N527" s="138"/>
      <c r="O527" s="138"/>
      <c r="S527" s="72"/>
      <c r="T527" s="72"/>
      <c r="U527" s="72"/>
      <c r="V527" s="72"/>
    </row>
    <row r="528" spans="1:22" s="63" customFormat="1" ht="15" x14ac:dyDescent="0.25">
      <c r="A528" s="87">
        <v>4.62</v>
      </c>
      <c r="B528" s="81" t="s">
        <v>44</v>
      </c>
      <c r="C528" s="82">
        <v>22</v>
      </c>
      <c r="D528" s="131" t="s">
        <v>549</v>
      </c>
      <c r="E528" s="83" t="s">
        <v>550</v>
      </c>
      <c r="F528" s="81" t="s">
        <v>219</v>
      </c>
      <c r="G528" s="82">
        <v>4</v>
      </c>
      <c r="H528" s="85"/>
      <c r="I528" s="86">
        <v>522.51</v>
      </c>
      <c r="J528" s="185">
        <f t="shared" si="70"/>
        <v>148.72999999999999</v>
      </c>
      <c r="K528" s="189">
        <f t="shared" si="71"/>
        <v>594.91999999999996</v>
      </c>
      <c r="L528" s="189"/>
      <c r="M528" s="138"/>
      <c r="N528" s="138"/>
      <c r="O528" s="138"/>
      <c r="S528" s="72"/>
      <c r="T528" s="72"/>
      <c r="U528" s="72"/>
      <c r="V528" s="72"/>
    </row>
    <row r="529" spans="1:22" s="63" customFormat="1" ht="22.5" x14ac:dyDescent="0.25">
      <c r="A529" s="87">
        <v>4.63</v>
      </c>
      <c r="B529" s="81" t="s">
        <v>44</v>
      </c>
      <c r="C529" s="80">
        <v>22.1</v>
      </c>
      <c r="D529" s="131" t="s">
        <v>553</v>
      </c>
      <c r="E529" s="83" t="s">
        <v>554</v>
      </c>
      <c r="F529" s="81" t="s">
        <v>219</v>
      </c>
      <c r="G529" s="82">
        <v>4</v>
      </c>
      <c r="H529" s="85"/>
      <c r="I529" s="86">
        <v>3594.27</v>
      </c>
      <c r="J529" s="185">
        <f t="shared" si="70"/>
        <v>1023.11</v>
      </c>
      <c r="K529" s="189">
        <f t="shared" si="71"/>
        <v>4092.44</v>
      </c>
      <c r="L529" s="189"/>
      <c r="M529" s="138"/>
      <c r="N529" s="138"/>
      <c r="O529" s="138"/>
      <c r="S529" s="72"/>
      <c r="T529" s="72"/>
      <c r="U529" s="72"/>
      <c r="V529" s="72"/>
    </row>
    <row r="530" spans="1:22" s="128" customFormat="1" ht="12.75" x14ac:dyDescent="0.25">
      <c r="A530" s="237"/>
      <c r="B530" s="125"/>
      <c r="C530" s="236"/>
      <c r="D530" s="77"/>
      <c r="E530" s="126" t="s">
        <v>3260</v>
      </c>
      <c r="F530" s="125"/>
      <c r="G530" s="76"/>
      <c r="H530" s="127"/>
      <c r="I530" s="78"/>
      <c r="J530" s="238"/>
      <c r="K530" s="239"/>
      <c r="L530" s="239"/>
      <c r="M530" s="79"/>
      <c r="N530" s="79"/>
      <c r="O530" s="79"/>
      <c r="S530" s="129"/>
      <c r="T530" s="129"/>
      <c r="U530" s="129"/>
      <c r="V530" s="129"/>
    </row>
    <row r="531" spans="1:22" s="63" customFormat="1" ht="22.5" x14ac:dyDescent="0.25">
      <c r="A531" s="87">
        <v>4.6399999999999997</v>
      </c>
      <c r="B531" s="81" t="s">
        <v>44</v>
      </c>
      <c r="C531" s="82">
        <v>23</v>
      </c>
      <c r="D531" s="131" t="s">
        <v>571</v>
      </c>
      <c r="E531" s="83" t="s">
        <v>572</v>
      </c>
      <c r="F531" s="81" t="s">
        <v>219</v>
      </c>
      <c r="G531" s="82">
        <v>7</v>
      </c>
      <c r="H531" s="85"/>
      <c r="I531" s="86">
        <v>18378.13</v>
      </c>
      <c r="J531" s="185">
        <f t="shared" ref="J531:J551" si="72">ROUND($I531/$G531*$N$11,2)</f>
        <v>2989.33</v>
      </c>
      <c r="K531" s="189">
        <f t="shared" ref="K531:K551" si="73">ROUND(G531*J531,2)</f>
        <v>20925.310000000001</v>
      </c>
      <c r="L531" s="189"/>
      <c r="M531" s="138"/>
      <c r="N531" s="138"/>
      <c r="O531" s="138"/>
      <c r="S531" s="72"/>
      <c r="T531" s="72"/>
      <c r="U531" s="72"/>
      <c r="V531" s="72"/>
    </row>
    <row r="532" spans="1:22" s="63" customFormat="1" ht="22.5" x14ac:dyDescent="0.25">
      <c r="A532" s="87">
        <v>4.6500000000000004</v>
      </c>
      <c r="B532" s="81" t="s">
        <v>44</v>
      </c>
      <c r="C532" s="82">
        <v>24</v>
      </c>
      <c r="D532" s="131" t="s">
        <v>573</v>
      </c>
      <c r="E532" s="83" t="s">
        <v>574</v>
      </c>
      <c r="F532" s="81" t="s">
        <v>219</v>
      </c>
      <c r="G532" s="82">
        <v>3</v>
      </c>
      <c r="H532" s="85"/>
      <c r="I532" s="86">
        <v>8045.88</v>
      </c>
      <c r="J532" s="185">
        <f t="shared" si="72"/>
        <v>3053.68</v>
      </c>
      <c r="K532" s="189">
        <f t="shared" si="73"/>
        <v>9161.0400000000009</v>
      </c>
      <c r="L532" s="189"/>
      <c r="M532" s="138"/>
      <c r="N532" s="138"/>
      <c r="O532" s="138"/>
      <c r="S532" s="72"/>
      <c r="T532" s="72"/>
      <c r="U532" s="72"/>
      <c r="V532" s="72"/>
    </row>
    <row r="533" spans="1:22" s="63" customFormat="1" ht="22.5" x14ac:dyDescent="0.25">
      <c r="A533" s="87">
        <v>4.66</v>
      </c>
      <c r="B533" s="81" t="s">
        <v>44</v>
      </c>
      <c r="C533" s="82">
        <v>25</v>
      </c>
      <c r="D533" s="131" t="s">
        <v>575</v>
      </c>
      <c r="E533" s="83" t="s">
        <v>576</v>
      </c>
      <c r="F533" s="81" t="s">
        <v>219</v>
      </c>
      <c r="G533" s="82">
        <v>16</v>
      </c>
      <c r="H533" s="85"/>
      <c r="I533" s="86">
        <v>67421.399999999994</v>
      </c>
      <c r="J533" s="185">
        <f t="shared" si="72"/>
        <v>4797.88</v>
      </c>
      <c r="K533" s="189">
        <f t="shared" si="73"/>
        <v>76766.080000000002</v>
      </c>
      <c r="L533" s="189"/>
      <c r="M533" s="138"/>
      <c r="N533" s="138"/>
      <c r="O533" s="138"/>
      <c r="S533" s="72"/>
      <c r="T533" s="72"/>
      <c r="U533" s="72"/>
      <c r="V533" s="72"/>
    </row>
    <row r="534" spans="1:22" s="63" customFormat="1" ht="22.5" x14ac:dyDescent="0.25">
      <c r="A534" s="87">
        <v>4.67</v>
      </c>
      <c r="B534" s="81" t="s">
        <v>44</v>
      </c>
      <c r="C534" s="80">
        <v>25.1</v>
      </c>
      <c r="D534" s="131" t="s">
        <v>577</v>
      </c>
      <c r="E534" s="83" t="s">
        <v>3469</v>
      </c>
      <c r="F534" s="81" t="s">
        <v>219</v>
      </c>
      <c r="G534" s="82">
        <v>2</v>
      </c>
      <c r="H534" s="85"/>
      <c r="I534" s="86">
        <v>8934.9699999999993</v>
      </c>
      <c r="J534" s="185">
        <f t="shared" si="72"/>
        <v>5086.68</v>
      </c>
      <c r="K534" s="189">
        <f t="shared" si="73"/>
        <v>10173.36</v>
      </c>
      <c r="L534" s="189"/>
      <c r="M534" s="138"/>
      <c r="N534" s="138"/>
      <c r="O534" s="138"/>
      <c r="S534" s="72"/>
      <c r="T534" s="72"/>
      <c r="U534" s="72"/>
      <c r="V534" s="72"/>
    </row>
    <row r="535" spans="1:22" s="63" customFormat="1" ht="22.5" x14ac:dyDescent="0.25">
      <c r="A535" s="87">
        <v>4.68</v>
      </c>
      <c r="B535" s="81" t="s">
        <v>44</v>
      </c>
      <c r="C535" s="80">
        <v>25.2</v>
      </c>
      <c r="D535" s="131" t="s">
        <v>577</v>
      </c>
      <c r="E535" s="83" t="s">
        <v>3470</v>
      </c>
      <c r="F535" s="81" t="s">
        <v>219</v>
      </c>
      <c r="G535" s="82">
        <v>2</v>
      </c>
      <c r="H535" s="85"/>
      <c r="I535" s="86">
        <v>12551.52</v>
      </c>
      <c r="J535" s="185">
        <f t="shared" si="72"/>
        <v>7145.58</v>
      </c>
      <c r="K535" s="189">
        <f t="shared" si="73"/>
        <v>14291.16</v>
      </c>
      <c r="L535" s="189"/>
      <c r="M535" s="138"/>
      <c r="N535" s="138"/>
      <c r="O535" s="138"/>
      <c r="S535" s="72"/>
      <c r="T535" s="72"/>
      <c r="U535" s="72"/>
      <c r="V535" s="72"/>
    </row>
    <row r="536" spans="1:22" s="63" customFormat="1" ht="22.5" x14ac:dyDescent="0.25">
      <c r="A536" s="87">
        <v>4.6900000000000004</v>
      </c>
      <c r="B536" s="81" t="s">
        <v>44</v>
      </c>
      <c r="C536" s="80">
        <v>25.3</v>
      </c>
      <c r="D536" s="131" t="s">
        <v>578</v>
      </c>
      <c r="E536" s="83" t="s">
        <v>3471</v>
      </c>
      <c r="F536" s="81" t="s">
        <v>219</v>
      </c>
      <c r="G536" s="82">
        <v>1</v>
      </c>
      <c r="H536" s="85"/>
      <c r="I536" s="86">
        <v>5850.32</v>
      </c>
      <c r="J536" s="185">
        <f t="shared" si="72"/>
        <v>6661.17</v>
      </c>
      <c r="K536" s="189">
        <f t="shared" si="73"/>
        <v>6661.17</v>
      </c>
      <c r="L536" s="189"/>
      <c r="M536" s="138"/>
      <c r="N536" s="138"/>
      <c r="O536" s="138"/>
      <c r="S536" s="72"/>
      <c r="T536" s="72"/>
      <c r="U536" s="72"/>
      <c r="V536" s="72"/>
    </row>
    <row r="537" spans="1:22" s="63" customFormat="1" ht="22.5" x14ac:dyDescent="0.25">
      <c r="A537" s="87">
        <v>4.7</v>
      </c>
      <c r="B537" s="81" t="s">
        <v>44</v>
      </c>
      <c r="C537" s="80">
        <v>25.4</v>
      </c>
      <c r="D537" s="131" t="s">
        <v>577</v>
      </c>
      <c r="E537" s="83" t="s">
        <v>3472</v>
      </c>
      <c r="F537" s="81" t="s">
        <v>219</v>
      </c>
      <c r="G537" s="82">
        <v>1</v>
      </c>
      <c r="H537" s="85"/>
      <c r="I537" s="86">
        <v>29996.02</v>
      </c>
      <c r="J537" s="185">
        <f t="shared" si="72"/>
        <v>34153.47</v>
      </c>
      <c r="K537" s="189">
        <f t="shared" si="73"/>
        <v>34153.47</v>
      </c>
      <c r="L537" s="189"/>
      <c r="M537" s="138"/>
      <c r="N537" s="138"/>
      <c r="O537" s="138"/>
      <c r="S537" s="72"/>
      <c r="T537" s="72"/>
      <c r="U537" s="72"/>
      <c r="V537" s="72"/>
    </row>
    <row r="538" spans="1:22" s="63" customFormat="1" ht="22.5" x14ac:dyDescent="0.25">
      <c r="A538" s="87">
        <v>4.71</v>
      </c>
      <c r="B538" s="81" t="s">
        <v>44</v>
      </c>
      <c r="C538" s="80">
        <v>25.5</v>
      </c>
      <c r="D538" s="131" t="s">
        <v>577</v>
      </c>
      <c r="E538" s="83" t="s">
        <v>3473</v>
      </c>
      <c r="F538" s="81" t="s">
        <v>219</v>
      </c>
      <c r="G538" s="82">
        <v>4</v>
      </c>
      <c r="H538" s="85"/>
      <c r="I538" s="86">
        <v>59141.16</v>
      </c>
      <c r="J538" s="185">
        <f t="shared" si="72"/>
        <v>16834.53</v>
      </c>
      <c r="K538" s="189">
        <f t="shared" si="73"/>
        <v>67338.12</v>
      </c>
      <c r="L538" s="189"/>
      <c r="M538" s="138"/>
      <c r="N538" s="138"/>
      <c r="O538" s="138"/>
      <c r="S538" s="72"/>
      <c r="T538" s="72"/>
      <c r="U538" s="72"/>
      <c r="V538" s="72"/>
    </row>
    <row r="539" spans="1:22" s="63" customFormat="1" ht="22.5" x14ac:dyDescent="0.25">
      <c r="A539" s="87">
        <v>4.72</v>
      </c>
      <c r="B539" s="81" t="s">
        <v>44</v>
      </c>
      <c r="C539" s="80">
        <v>25.6</v>
      </c>
      <c r="D539" s="131" t="s">
        <v>578</v>
      </c>
      <c r="E539" s="83" t="s">
        <v>3474</v>
      </c>
      <c r="F539" s="81" t="s">
        <v>219</v>
      </c>
      <c r="G539" s="82">
        <v>1</v>
      </c>
      <c r="H539" s="85"/>
      <c r="I539" s="86">
        <v>44675.01</v>
      </c>
      <c r="J539" s="185">
        <f t="shared" si="72"/>
        <v>50866.97</v>
      </c>
      <c r="K539" s="189">
        <f t="shared" si="73"/>
        <v>50866.97</v>
      </c>
      <c r="L539" s="189"/>
      <c r="M539" s="138"/>
      <c r="N539" s="138"/>
      <c r="O539" s="138"/>
      <c r="S539" s="72"/>
      <c r="T539" s="72"/>
      <c r="U539" s="72"/>
      <c r="V539" s="72"/>
    </row>
    <row r="540" spans="1:22" s="63" customFormat="1" ht="22.5" x14ac:dyDescent="0.25">
      <c r="A540" s="87">
        <v>4.7300000000000004</v>
      </c>
      <c r="B540" s="81" t="s">
        <v>44</v>
      </c>
      <c r="C540" s="80">
        <v>25.7</v>
      </c>
      <c r="D540" s="131" t="s">
        <v>577</v>
      </c>
      <c r="E540" s="83" t="s">
        <v>3475</v>
      </c>
      <c r="F540" s="81" t="s">
        <v>219</v>
      </c>
      <c r="G540" s="82">
        <v>1</v>
      </c>
      <c r="H540" s="85"/>
      <c r="I540" s="86">
        <v>6275.76</v>
      </c>
      <c r="J540" s="185">
        <f t="shared" si="72"/>
        <v>7145.58</v>
      </c>
      <c r="K540" s="189">
        <f t="shared" si="73"/>
        <v>7145.58</v>
      </c>
      <c r="L540" s="189"/>
      <c r="M540" s="138"/>
      <c r="N540" s="138"/>
      <c r="O540" s="138"/>
      <c r="S540" s="72"/>
      <c r="T540" s="72"/>
      <c r="U540" s="72"/>
      <c r="V540" s="72"/>
    </row>
    <row r="541" spans="1:22" s="63" customFormat="1" ht="22.5" x14ac:dyDescent="0.25">
      <c r="A541" s="87">
        <v>4.74</v>
      </c>
      <c r="B541" s="81" t="s">
        <v>44</v>
      </c>
      <c r="C541" s="80">
        <v>25.8</v>
      </c>
      <c r="D541" s="131" t="s">
        <v>577</v>
      </c>
      <c r="E541" s="83" t="s">
        <v>3476</v>
      </c>
      <c r="F541" s="81" t="s">
        <v>219</v>
      </c>
      <c r="G541" s="82">
        <v>7</v>
      </c>
      <c r="H541" s="85"/>
      <c r="I541" s="86">
        <v>31272.52</v>
      </c>
      <c r="J541" s="185">
        <f t="shared" si="72"/>
        <v>5086.7</v>
      </c>
      <c r="K541" s="189">
        <f t="shared" si="73"/>
        <v>35606.9</v>
      </c>
      <c r="L541" s="189"/>
      <c r="M541" s="138"/>
      <c r="N541" s="138"/>
      <c r="O541" s="138"/>
      <c r="S541" s="72"/>
      <c r="T541" s="72"/>
      <c r="U541" s="72"/>
      <c r="V541" s="72"/>
    </row>
    <row r="542" spans="1:22" s="63" customFormat="1" ht="22.5" x14ac:dyDescent="0.25">
      <c r="A542" s="87">
        <v>4.75</v>
      </c>
      <c r="B542" s="81" t="s">
        <v>44</v>
      </c>
      <c r="C542" s="80">
        <v>25.9</v>
      </c>
      <c r="D542" s="131" t="s">
        <v>578</v>
      </c>
      <c r="E542" s="83" t="s">
        <v>3477</v>
      </c>
      <c r="F542" s="81" t="s">
        <v>219</v>
      </c>
      <c r="G542" s="82">
        <v>1</v>
      </c>
      <c r="H542" s="85"/>
      <c r="I542" s="86">
        <v>5531.17</v>
      </c>
      <c r="J542" s="185">
        <f t="shared" si="72"/>
        <v>6297.79</v>
      </c>
      <c r="K542" s="189">
        <f t="shared" si="73"/>
        <v>6297.79</v>
      </c>
      <c r="L542" s="189"/>
      <c r="M542" s="138"/>
      <c r="N542" s="138"/>
      <c r="O542" s="138"/>
      <c r="S542" s="72"/>
      <c r="T542" s="72"/>
      <c r="U542" s="72"/>
      <c r="V542" s="72"/>
    </row>
    <row r="543" spans="1:22" s="63" customFormat="1" ht="22.5" x14ac:dyDescent="0.25">
      <c r="A543" s="87">
        <v>4.76</v>
      </c>
      <c r="B543" s="81" t="s">
        <v>44</v>
      </c>
      <c r="C543" s="87">
        <v>25.1</v>
      </c>
      <c r="D543" s="131" t="s">
        <v>578</v>
      </c>
      <c r="E543" s="83" t="s">
        <v>3478</v>
      </c>
      <c r="F543" s="81" t="s">
        <v>219</v>
      </c>
      <c r="G543" s="82">
        <v>1</v>
      </c>
      <c r="H543" s="85"/>
      <c r="I543" s="86">
        <v>9466.8799999999992</v>
      </c>
      <c r="J543" s="185">
        <f t="shared" si="72"/>
        <v>10778.99</v>
      </c>
      <c r="K543" s="189">
        <f t="shared" si="73"/>
        <v>10778.99</v>
      </c>
      <c r="L543" s="189"/>
      <c r="M543" s="138"/>
      <c r="N543" s="138"/>
      <c r="O543" s="138"/>
      <c r="S543" s="72"/>
      <c r="T543" s="72"/>
      <c r="U543" s="72"/>
      <c r="V543" s="72"/>
    </row>
    <row r="544" spans="1:22" s="63" customFormat="1" ht="22.5" x14ac:dyDescent="0.25">
      <c r="A544" s="87">
        <v>4.7699999999999996</v>
      </c>
      <c r="B544" s="81" t="s">
        <v>44</v>
      </c>
      <c r="C544" s="87">
        <v>25.11</v>
      </c>
      <c r="D544" s="131" t="s">
        <v>578</v>
      </c>
      <c r="E544" s="83" t="s">
        <v>3479</v>
      </c>
      <c r="F544" s="81" t="s">
        <v>219</v>
      </c>
      <c r="G544" s="82">
        <v>1</v>
      </c>
      <c r="H544" s="85"/>
      <c r="I544" s="86">
        <v>5743.94</v>
      </c>
      <c r="J544" s="185">
        <f t="shared" si="72"/>
        <v>6540.05</v>
      </c>
      <c r="K544" s="189">
        <f t="shared" si="73"/>
        <v>6540.05</v>
      </c>
      <c r="L544" s="189"/>
      <c r="M544" s="138"/>
      <c r="N544" s="138"/>
      <c r="O544" s="138"/>
      <c r="S544" s="72"/>
      <c r="T544" s="72"/>
      <c r="U544" s="72"/>
      <c r="V544" s="72"/>
    </row>
    <row r="545" spans="1:22" s="63" customFormat="1" ht="22.5" x14ac:dyDescent="0.25">
      <c r="A545" s="87">
        <v>4.78</v>
      </c>
      <c r="B545" s="81" t="s">
        <v>44</v>
      </c>
      <c r="C545" s="87">
        <v>25.12</v>
      </c>
      <c r="D545" s="131" t="s">
        <v>577</v>
      </c>
      <c r="E545" s="83" t="s">
        <v>3480</v>
      </c>
      <c r="F545" s="81" t="s">
        <v>219</v>
      </c>
      <c r="G545" s="82">
        <v>1</v>
      </c>
      <c r="H545" s="85"/>
      <c r="I545" s="86">
        <v>7339.5</v>
      </c>
      <c r="J545" s="185">
        <f t="shared" si="72"/>
        <v>8356.75</v>
      </c>
      <c r="K545" s="189">
        <f t="shared" si="73"/>
        <v>8356.75</v>
      </c>
      <c r="L545" s="189"/>
      <c r="M545" s="138"/>
      <c r="N545" s="138"/>
      <c r="O545" s="138"/>
      <c r="S545" s="72"/>
      <c r="T545" s="72"/>
      <c r="U545" s="72"/>
      <c r="V545" s="72"/>
    </row>
    <row r="546" spans="1:22" s="63" customFormat="1" ht="22.5" x14ac:dyDescent="0.25">
      <c r="A546" s="87">
        <v>4.79</v>
      </c>
      <c r="B546" s="81" t="s">
        <v>44</v>
      </c>
      <c r="C546" s="87">
        <v>25.13</v>
      </c>
      <c r="D546" s="131" t="s">
        <v>577</v>
      </c>
      <c r="E546" s="83" t="s">
        <v>3481</v>
      </c>
      <c r="F546" s="81" t="s">
        <v>219</v>
      </c>
      <c r="G546" s="82">
        <v>2</v>
      </c>
      <c r="H546" s="85"/>
      <c r="I546" s="86">
        <v>14253.47</v>
      </c>
      <c r="J546" s="185">
        <f t="shared" si="72"/>
        <v>8114.5</v>
      </c>
      <c r="K546" s="189">
        <f t="shared" si="73"/>
        <v>16229</v>
      </c>
      <c r="L546" s="189"/>
      <c r="M546" s="138"/>
      <c r="N546" s="138"/>
      <c r="O546" s="138"/>
      <c r="S546" s="72"/>
      <c r="T546" s="72"/>
      <c r="U546" s="72"/>
      <c r="V546" s="72"/>
    </row>
    <row r="547" spans="1:22" s="63" customFormat="1" ht="22.5" x14ac:dyDescent="0.25">
      <c r="A547" s="87">
        <v>4.8</v>
      </c>
      <c r="B547" s="81" t="s">
        <v>44</v>
      </c>
      <c r="C547" s="87">
        <v>25.14</v>
      </c>
      <c r="D547" s="131" t="s">
        <v>577</v>
      </c>
      <c r="E547" s="83" t="s">
        <v>3482</v>
      </c>
      <c r="F547" s="81" t="s">
        <v>219</v>
      </c>
      <c r="G547" s="82">
        <v>1</v>
      </c>
      <c r="H547" s="85"/>
      <c r="I547" s="86">
        <v>19359.2</v>
      </c>
      <c r="J547" s="185">
        <f t="shared" si="72"/>
        <v>22042.39</v>
      </c>
      <c r="K547" s="189">
        <f t="shared" si="73"/>
        <v>22042.39</v>
      </c>
      <c r="L547" s="189"/>
      <c r="M547" s="138"/>
      <c r="N547" s="138"/>
      <c r="O547" s="138"/>
      <c r="S547" s="72"/>
      <c r="T547" s="72"/>
      <c r="U547" s="72"/>
      <c r="V547" s="72"/>
    </row>
    <row r="548" spans="1:22" s="63" customFormat="1" ht="33.75" x14ac:dyDescent="0.25">
      <c r="A548" s="87">
        <v>4.8099999999999996</v>
      </c>
      <c r="B548" s="81" t="s">
        <v>44</v>
      </c>
      <c r="C548" s="82">
        <v>26</v>
      </c>
      <c r="D548" s="131" t="s">
        <v>579</v>
      </c>
      <c r="E548" s="83" t="s">
        <v>580</v>
      </c>
      <c r="F548" s="81" t="s">
        <v>207</v>
      </c>
      <c r="G548" s="84">
        <v>1.2969999999999999</v>
      </c>
      <c r="H548" s="85"/>
      <c r="I548" s="86">
        <v>292133.52</v>
      </c>
      <c r="J548" s="185">
        <f t="shared" si="72"/>
        <v>256455.84</v>
      </c>
      <c r="K548" s="189">
        <f t="shared" si="73"/>
        <v>332623.21999999997</v>
      </c>
      <c r="L548" s="189"/>
      <c r="M548" s="138"/>
      <c r="N548" s="138"/>
      <c r="O548" s="138"/>
      <c r="S548" s="72"/>
      <c r="T548" s="72"/>
      <c r="U548" s="72"/>
      <c r="V548" s="72"/>
    </row>
    <row r="549" spans="1:22" s="63" customFormat="1" ht="22.5" x14ac:dyDescent="0.25">
      <c r="A549" s="87">
        <v>4.82</v>
      </c>
      <c r="B549" s="81" t="s">
        <v>44</v>
      </c>
      <c r="C549" s="80">
        <v>26.1</v>
      </c>
      <c r="D549" s="131" t="s">
        <v>581</v>
      </c>
      <c r="E549" s="83" t="s">
        <v>582</v>
      </c>
      <c r="F549" s="81" t="s">
        <v>583</v>
      </c>
      <c r="G549" s="87">
        <v>15.56</v>
      </c>
      <c r="H549" s="85"/>
      <c r="I549" s="86">
        <v>8400.92</v>
      </c>
      <c r="J549" s="185">
        <f t="shared" si="72"/>
        <v>614.74</v>
      </c>
      <c r="K549" s="189">
        <f t="shared" si="73"/>
        <v>9565.35</v>
      </c>
      <c r="L549" s="189"/>
      <c r="M549" s="138"/>
      <c r="N549" s="138"/>
      <c r="O549" s="138"/>
      <c r="S549" s="72"/>
      <c r="T549" s="72"/>
      <c r="U549" s="72"/>
      <c r="V549" s="72"/>
    </row>
    <row r="550" spans="1:22" s="63" customFormat="1" ht="22.5" x14ac:dyDescent="0.25">
      <c r="A550" s="87">
        <v>4.83</v>
      </c>
      <c r="B550" s="81" t="s">
        <v>44</v>
      </c>
      <c r="C550" s="80">
        <v>26.2</v>
      </c>
      <c r="D550" s="131" t="s">
        <v>584</v>
      </c>
      <c r="E550" s="83" t="s">
        <v>585</v>
      </c>
      <c r="F550" s="81" t="s">
        <v>205</v>
      </c>
      <c r="G550" s="84">
        <v>6.4850000000000003</v>
      </c>
      <c r="H550" s="85"/>
      <c r="I550" s="86">
        <v>40425.4</v>
      </c>
      <c r="J550" s="185">
        <f t="shared" si="72"/>
        <v>7097.67</v>
      </c>
      <c r="K550" s="189">
        <f t="shared" si="73"/>
        <v>46028.39</v>
      </c>
      <c r="L550" s="189"/>
      <c r="M550" s="138"/>
      <c r="N550" s="138"/>
      <c r="O550" s="138"/>
      <c r="S550" s="72"/>
      <c r="T550" s="72"/>
      <c r="U550" s="72"/>
      <c r="V550" s="72"/>
    </row>
    <row r="551" spans="1:22" s="63" customFormat="1" ht="22.5" x14ac:dyDescent="0.25">
      <c r="A551" s="87">
        <v>4.84</v>
      </c>
      <c r="B551" s="81" t="s">
        <v>44</v>
      </c>
      <c r="C551" s="80">
        <v>26.3</v>
      </c>
      <c r="D551" s="131" t="s">
        <v>586</v>
      </c>
      <c r="E551" s="83" t="s">
        <v>587</v>
      </c>
      <c r="F551" s="81" t="s">
        <v>226</v>
      </c>
      <c r="G551" s="89">
        <v>0.73929</v>
      </c>
      <c r="H551" s="85"/>
      <c r="I551" s="86">
        <v>72851.08</v>
      </c>
      <c r="J551" s="185">
        <f t="shared" si="72"/>
        <v>112199.87</v>
      </c>
      <c r="K551" s="189">
        <f t="shared" si="73"/>
        <v>82948.240000000005</v>
      </c>
      <c r="L551" s="189"/>
      <c r="M551" s="138"/>
      <c r="N551" s="138"/>
      <c r="O551" s="138"/>
      <c r="S551" s="72"/>
      <c r="T551" s="72"/>
      <c r="U551" s="72"/>
      <c r="V551" s="72"/>
    </row>
    <row r="552" spans="1:22" s="128" customFormat="1" ht="12.75" x14ac:dyDescent="0.25">
      <c r="A552" s="237"/>
      <c r="B552" s="125"/>
      <c r="C552" s="236"/>
      <c r="D552" s="77"/>
      <c r="E552" s="126" t="s">
        <v>3261</v>
      </c>
      <c r="F552" s="125"/>
      <c r="G552" s="243"/>
      <c r="H552" s="127"/>
      <c r="I552" s="78"/>
      <c r="J552" s="238"/>
      <c r="K552" s="239"/>
      <c r="L552" s="239"/>
      <c r="M552" s="79"/>
      <c r="N552" s="79"/>
      <c r="O552" s="79"/>
      <c r="S552" s="129"/>
      <c r="T552" s="129"/>
      <c r="U552" s="129"/>
      <c r="V552" s="129"/>
    </row>
    <row r="553" spans="1:22" s="63" customFormat="1" ht="22.5" x14ac:dyDescent="0.25">
      <c r="A553" s="87">
        <v>4.8499999999999996</v>
      </c>
      <c r="B553" s="81" t="s">
        <v>44</v>
      </c>
      <c r="C553" s="82">
        <v>27</v>
      </c>
      <c r="D553" s="131" t="s">
        <v>588</v>
      </c>
      <c r="E553" s="83" t="s">
        <v>589</v>
      </c>
      <c r="F553" s="81" t="s">
        <v>354</v>
      </c>
      <c r="G553" s="84">
        <v>1.2969999999999999</v>
      </c>
      <c r="H553" s="85"/>
      <c r="I553" s="86">
        <v>97235.21</v>
      </c>
      <c r="J553" s="185">
        <f>ROUND($I553/$G553*$N$11,2)</f>
        <v>85360.07</v>
      </c>
      <c r="K553" s="189">
        <f>ROUND(G553*J553,2)</f>
        <v>110712.01</v>
      </c>
      <c r="L553" s="189"/>
      <c r="M553" s="138"/>
      <c r="N553" s="138"/>
      <c r="O553" s="138"/>
      <c r="S553" s="72"/>
      <c r="T553" s="72"/>
      <c r="U553" s="72"/>
      <c r="V553" s="72"/>
    </row>
    <row r="554" spans="1:22" s="63" customFormat="1" ht="22.5" x14ac:dyDescent="0.25">
      <c r="A554" s="87">
        <v>4.8600000000000003</v>
      </c>
      <c r="B554" s="81" t="s">
        <v>44</v>
      </c>
      <c r="C554" s="80">
        <v>27.1</v>
      </c>
      <c r="D554" s="131" t="s">
        <v>590</v>
      </c>
      <c r="E554" s="83" t="s">
        <v>591</v>
      </c>
      <c r="F554" s="81" t="s">
        <v>205</v>
      </c>
      <c r="G554" s="89">
        <v>0.66147</v>
      </c>
      <c r="H554" s="85"/>
      <c r="I554" s="86">
        <v>2044.98</v>
      </c>
      <c r="J554" s="185">
        <f>ROUND($I554/$G554*$N$11,2)</f>
        <v>3520.06</v>
      </c>
      <c r="K554" s="189">
        <f>ROUND(G554*J554,2)</f>
        <v>2328.41</v>
      </c>
      <c r="L554" s="189"/>
      <c r="M554" s="138"/>
      <c r="N554" s="138"/>
      <c r="O554" s="138"/>
      <c r="S554" s="72"/>
      <c r="T554" s="72"/>
      <c r="U554" s="72"/>
      <c r="V554" s="72"/>
    </row>
    <row r="555" spans="1:22" s="63" customFormat="1" ht="22.5" x14ac:dyDescent="0.25">
      <c r="A555" s="87">
        <v>4.87</v>
      </c>
      <c r="B555" s="81" t="s">
        <v>44</v>
      </c>
      <c r="C555" s="80">
        <v>27.2</v>
      </c>
      <c r="D555" s="131" t="s">
        <v>523</v>
      </c>
      <c r="E555" s="83" t="s">
        <v>3464</v>
      </c>
      <c r="F555" s="81" t="s">
        <v>370</v>
      </c>
      <c r="G555" s="89">
        <v>0.66147</v>
      </c>
      <c r="H555" s="85"/>
      <c r="I555" s="86">
        <v>187.37</v>
      </c>
      <c r="J555" s="185">
        <f>ROUND($I555/$G555*$N$11,2)</f>
        <v>322.52</v>
      </c>
      <c r="K555" s="189">
        <f>ROUND(G555*J555,2)</f>
        <v>213.34</v>
      </c>
      <c r="L555" s="189"/>
      <c r="M555" s="138"/>
      <c r="N555" s="138"/>
      <c r="O555" s="138"/>
      <c r="S555" s="72"/>
      <c r="T555" s="72"/>
      <c r="U555" s="72"/>
      <c r="V555" s="72"/>
    </row>
    <row r="556" spans="1:22" s="63" customFormat="1" ht="15" x14ac:dyDescent="0.25">
      <c r="A556" s="194">
        <v>5</v>
      </c>
      <c r="B556" s="418" t="s">
        <v>592</v>
      </c>
      <c r="C556" s="418"/>
      <c r="D556" s="418"/>
      <c r="E556" s="195" t="s">
        <v>155</v>
      </c>
      <c r="F556" s="196"/>
      <c r="G556" s="194">
        <v>1</v>
      </c>
      <c r="H556" s="197">
        <v>19780562.920000002</v>
      </c>
      <c r="I556" s="355">
        <f>SUM(I559:I612)</f>
        <v>19780562.929999996</v>
      </c>
      <c r="J556" s="200"/>
      <c r="K556" s="198">
        <f>SUM(K559:K612)</f>
        <v>22522165.859999999</v>
      </c>
      <c r="L556" s="198"/>
      <c r="M556" s="207"/>
      <c r="N556" s="209"/>
      <c r="O556" s="138"/>
      <c r="S556" s="72"/>
      <c r="T556" s="72"/>
      <c r="U556" s="72"/>
      <c r="V556" s="72"/>
    </row>
    <row r="557" spans="1:22" s="63" customFormat="1" ht="15" x14ac:dyDescent="0.25">
      <c r="A557" s="216"/>
      <c r="B557" s="217"/>
      <c r="C557" s="217"/>
      <c r="D557" s="217"/>
      <c r="E557" s="218" t="s">
        <v>3262</v>
      </c>
      <c r="F557" s="219"/>
      <c r="G557" s="216"/>
      <c r="H557" s="220"/>
      <c r="I557" s="221"/>
      <c r="J557" s="244"/>
      <c r="K557" s="221"/>
      <c r="L557" s="221"/>
      <c r="M557" s="207"/>
      <c r="N557" s="209"/>
      <c r="O557" s="138"/>
      <c r="S557" s="72"/>
      <c r="T557" s="72"/>
      <c r="U557" s="72"/>
      <c r="V557" s="72"/>
    </row>
    <row r="558" spans="1:22" s="63" customFormat="1" ht="15" x14ac:dyDescent="0.25">
      <c r="A558" s="216"/>
      <c r="B558" s="217"/>
      <c r="C558" s="217"/>
      <c r="D558" s="217"/>
      <c r="E558" s="218" t="s">
        <v>3263</v>
      </c>
      <c r="F558" s="219"/>
      <c r="G558" s="216"/>
      <c r="H558" s="220"/>
      <c r="I558" s="221"/>
      <c r="J558" s="244"/>
      <c r="K558" s="221"/>
      <c r="L558" s="221"/>
      <c r="M558" s="207"/>
      <c r="N558" s="209"/>
      <c r="O558" s="138"/>
      <c r="S558" s="72"/>
      <c r="T558" s="72"/>
      <c r="U558" s="72"/>
      <c r="V558" s="72"/>
    </row>
    <row r="559" spans="1:22" s="63" customFormat="1" ht="22.5" x14ac:dyDescent="0.25">
      <c r="A559" s="80">
        <v>5.0999999999999996</v>
      </c>
      <c r="B559" s="81" t="s">
        <v>45</v>
      </c>
      <c r="C559" s="82">
        <v>1</v>
      </c>
      <c r="D559" s="131" t="s">
        <v>593</v>
      </c>
      <c r="E559" s="83" t="s">
        <v>594</v>
      </c>
      <c r="F559" s="81" t="s">
        <v>207</v>
      </c>
      <c r="G559" s="88">
        <v>13.5946</v>
      </c>
      <c r="H559" s="85"/>
      <c r="I559" s="86">
        <f>1744586.92+0.01</f>
        <v>1744586.93</v>
      </c>
      <c r="J559" s="185">
        <f t="shared" ref="J559:J567" si="74">ROUND($I559/$G559*$N$11,2)</f>
        <v>146115.85999999999</v>
      </c>
      <c r="K559" s="189">
        <f t="shared" ref="K559:K567" si="75">ROUND(G559*J559,2)</f>
        <v>1986386.67</v>
      </c>
      <c r="L559" s="189"/>
      <c r="M559" s="138"/>
      <c r="N559" s="138"/>
      <c r="O559" s="138"/>
      <c r="S559" s="72"/>
      <c r="T559" s="72"/>
      <c r="U559" s="72"/>
      <c r="V559" s="72"/>
    </row>
    <row r="560" spans="1:22" s="63" customFormat="1" ht="22.5" x14ac:dyDescent="0.25">
      <c r="A560" s="80">
        <v>5.2</v>
      </c>
      <c r="B560" s="81" t="s">
        <v>45</v>
      </c>
      <c r="C560" s="80">
        <v>1.1000000000000001</v>
      </c>
      <c r="D560" s="131" t="s">
        <v>595</v>
      </c>
      <c r="E560" s="83" t="s">
        <v>596</v>
      </c>
      <c r="F560" s="81" t="s">
        <v>370</v>
      </c>
      <c r="G560" s="82">
        <v>1446</v>
      </c>
      <c r="H560" s="85"/>
      <c r="I560" s="86">
        <v>327689.05</v>
      </c>
      <c r="J560" s="185">
        <f t="shared" si="74"/>
        <v>258.02999999999997</v>
      </c>
      <c r="K560" s="189">
        <f t="shared" si="75"/>
        <v>373111.38</v>
      </c>
      <c r="L560" s="189"/>
      <c r="M560" s="138"/>
      <c r="N560" s="138"/>
      <c r="O560" s="138"/>
      <c r="S560" s="72"/>
      <c r="T560" s="72"/>
      <c r="U560" s="72"/>
      <c r="V560" s="72"/>
    </row>
    <row r="561" spans="1:22" s="63" customFormat="1" ht="22.5" x14ac:dyDescent="0.25">
      <c r="A561" s="80">
        <v>5.3</v>
      </c>
      <c r="B561" s="81" t="s">
        <v>45</v>
      </c>
      <c r="C561" s="80">
        <v>1.2</v>
      </c>
      <c r="D561" s="131" t="s">
        <v>597</v>
      </c>
      <c r="E561" s="83" t="s">
        <v>598</v>
      </c>
      <c r="F561" s="81" t="s">
        <v>370</v>
      </c>
      <c r="G561" s="80">
        <v>63.5</v>
      </c>
      <c r="H561" s="85"/>
      <c r="I561" s="86">
        <v>18658.830000000002</v>
      </c>
      <c r="J561" s="185">
        <f t="shared" si="74"/>
        <v>334.57</v>
      </c>
      <c r="K561" s="189">
        <f t="shared" si="75"/>
        <v>21245.200000000001</v>
      </c>
      <c r="L561" s="189"/>
      <c r="M561" s="138"/>
      <c r="N561" s="138"/>
      <c r="O561" s="138"/>
      <c r="S561" s="72"/>
      <c r="T561" s="72"/>
      <c r="U561" s="72"/>
      <c r="V561" s="72"/>
    </row>
    <row r="562" spans="1:22" s="63" customFormat="1" ht="22.5" x14ac:dyDescent="0.25">
      <c r="A562" s="80">
        <v>5.4</v>
      </c>
      <c r="B562" s="81" t="s">
        <v>45</v>
      </c>
      <c r="C562" s="80">
        <v>1.3</v>
      </c>
      <c r="D562" s="131" t="s">
        <v>599</v>
      </c>
      <c r="E562" s="83" t="s">
        <v>600</v>
      </c>
      <c r="F562" s="81" t="s">
        <v>334</v>
      </c>
      <c r="G562" s="84">
        <v>1835.271</v>
      </c>
      <c r="H562" s="85"/>
      <c r="I562" s="86">
        <v>9615.35</v>
      </c>
      <c r="J562" s="185">
        <f t="shared" si="74"/>
        <v>5.97</v>
      </c>
      <c r="K562" s="189">
        <f t="shared" si="75"/>
        <v>10956.57</v>
      </c>
      <c r="L562" s="189"/>
      <c r="M562" s="138"/>
      <c r="N562" s="138"/>
      <c r="O562" s="138"/>
      <c r="S562" s="72"/>
      <c r="T562" s="72"/>
      <c r="U562" s="72"/>
      <c r="V562" s="72"/>
    </row>
    <row r="563" spans="1:22" s="63" customFormat="1" ht="22.5" x14ac:dyDescent="0.25">
      <c r="A563" s="80">
        <v>5.5</v>
      </c>
      <c r="B563" s="81" t="s">
        <v>45</v>
      </c>
      <c r="C563" s="80">
        <v>1.4</v>
      </c>
      <c r="D563" s="131" t="s">
        <v>601</v>
      </c>
      <c r="E563" s="83" t="s">
        <v>602</v>
      </c>
      <c r="F563" s="81" t="s">
        <v>216</v>
      </c>
      <c r="G563" s="87">
        <v>11.01</v>
      </c>
      <c r="H563" s="85"/>
      <c r="I563" s="86">
        <v>3799.31</v>
      </c>
      <c r="J563" s="185">
        <f t="shared" si="74"/>
        <v>392.91</v>
      </c>
      <c r="K563" s="189">
        <f t="shared" si="75"/>
        <v>4325.9399999999996</v>
      </c>
      <c r="L563" s="189"/>
      <c r="M563" s="138"/>
      <c r="N563" s="138"/>
      <c r="O563" s="138"/>
      <c r="S563" s="72"/>
      <c r="T563" s="72"/>
      <c r="U563" s="72"/>
      <c r="V563" s="72"/>
    </row>
    <row r="564" spans="1:22" s="63" customFormat="1" ht="22.5" x14ac:dyDescent="0.25">
      <c r="A564" s="80">
        <v>5.6</v>
      </c>
      <c r="B564" s="81" t="s">
        <v>45</v>
      </c>
      <c r="C564" s="82">
        <v>2</v>
      </c>
      <c r="D564" s="131" t="s">
        <v>603</v>
      </c>
      <c r="E564" s="83" t="s">
        <v>604</v>
      </c>
      <c r="F564" s="81" t="s">
        <v>207</v>
      </c>
      <c r="G564" s="88">
        <v>13.5946</v>
      </c>
      <c r="H564" s="85"/>
      <c r="I564" s="86">
        <v>278809.08</v>
      </c>
      <c r="J564" s="185">
        <f t="shared" si="74"/>
        <v>23351.33</v>
      </c>
      <c r="K564" s="189">
        <f t="shared" si="75"/>
        <v>317451.99</v>
      </c>
      <c r="L564" s="189"/>
      <c r="M564" s="138"/>
      <c r="N564" s="138"/>
      <c r="O564" s="138"/>
      <c r="S564" s="72"/>
      <c r="T564" s="72"/>
      <c r="U564" s="72"/>
      <c r="V564" s="72"/>
    </row>
    <row r="565" spans="1:22" s="63" customFormat="1" ht="22.5" x14ac:dyDescent="0.25">
      <c r="A565" s="80">
        <v>5.7</v>
      </c>
      <c r="B565" s="81" t="s">
        <v>45</v>
      </c>
      <c r="C565" s="82">
        <v>3</v>
      </c>
      <c r="D565" s="131" t="s">
        <v>605</v>
      </c>
      <c r="E565" s="83" t="s">
        <v>606</v>
      </c>
      <c r="F565" s="81" t="s">
        <v>207</v>
      </c>
      <c r="G565" s="88">
        <v>13.5946</v>
      </c>
      <c r="H565" s="85"/>
      <c r="I565" s="86">
        <v>517909.17</v>
      </c>
      <c r="J565" s="185">
        <f t="shared" si="74"/>
        <v>43376.88</v>
      </c>
      <c r="K565" s="189">
        <f t="shared" si="75"/>
        <v>589691.32999999996</v>
      </c>
      <c r="L565" s="189"/>
      <c r="M565" s="138"/>
      <c r="N565" s="138"/>
      <c r="O565" s="138"/>
      <c r="S565" s="72"/>
      <c r="T565" s="72"/>
      <c r="U565" s="72"/>
      <c r="V565" s="72"/>
    </row>
    <row r="566" spans="1:22" s="63" customFormat="1" ht="22.5" x14ac:dyDescent="0.25">
      <c r="A566" s="80">
        <v>5.8</v>
      </c>
      <c r="B566" s="81" t="s">
        <v>45</v>
      </c>
      <c r="C566" s="80">
        <v>3.1</v>
      </c>
      <c r="D566" s="131" t="s">
        <v>607</v>
      </c>
      <c r="E566" s="83" t="s">
        <v>608</v>
      </c>
      <c r="F566" s="81" t="s">
        <v>213</v>
      </c>
      <c r="G566" s="88">
        <v>299.08120000000002</v>
      </c>
      <c r="H566" s="85"/>
      <c r="I566" s="86">
        <v>24274.37</v>
      </c>
      <c r="J566" s="185">
        <f t="shared" si="74"/>
        <v>92.41</v>
      </c>
      <c r="K566" s="189">
        <f t="shared" si="75"/>
        <v>27638.09</v>
      </c>
      <c r="L566" s="189"/>
      <c r="M566" s="138"/>
      <c r="N566" s="138"/>
      <c r="O566" s="138"/>
      <c r="S566" s="72"/>
      <c r="T566" s="72"/>
      <c r="U566" s="72"/>
      <c r="V566" s="72"/>
    </row>
    <row r="567" spans="1:22" s="63" customFormat="1" ht="22.5" x14ac:dyDescent="0.25">
      <c r="A567" s="80">
        <v>5.9</v>
      </c>
      <c r="B567" s="81" t="s">
        <v>45</v>
      </c>
      <c r="C567" s="80">
        <v>3.2</v>
      </c>
      <c r="D567" s="131" t="s">
        <v>609</v>
      </c>
      <c r="E567" s="83" t="s">
        <v>610</v>
      </c>
      <c r="F567" s="81" t="s">
        <v>226</v>
      </c>
      <c r="G567" s="90">
        <v>0.44862200000000002</v>
      </c>
      <c r="H567" s="85"/>
      <c r="I567" s="86">
        <v>30385.67</v>
      </c>
      <c r="J567" s="185">
        <f t="shared" si="74"/>
        <v>77118.649999999994</v>
      </c>
      <c r="K567" s="189">
        <f t="shared" si="75"/>
        <v>34597.120000000003</v>
      </c>
      <c r="L567" s="189"/>
      <c r="M567" s="138"/>
      <c r="N567" s="138"/>
      <c r="O567" s="138"/>
      <c r="S567" s="72"/>
      <c r="T567" s="72"/>
      <c r="U567" s="72"/>
      <c r="V567" s="72"/>
    </row>
    <row r="568" spans="1:22" s="128" customFormat="1" ht="12.75" x14ac:dyDescent="0.25">
      <c r="A568" s="236"/>
      <c r="B568" s="125"/>
      <c r="C568" s="236"/>
      <c r="D568" s="77"/>
      <c r="E568" s="126" t="s">
        <v>3264</v>
      </c>
      <c r="F568" s="125"/>
      <c r="G568" s="247"/>
      <c r="H568" s="127"/>
      <c r="I568" s="78"/>
      <c r="J568" s="238"/>
      <c r="K568" s="239"/>
      <c r="L568" s="239"/>
      <c r="M568" s="79"/>
      <c r="N568" s="79"/>
      <c r="O568" s="79"/>
      <c r="S568" s="129"/>
      <c r="T568" s="129"/>
      <c r="U568" s="129"/>
      <c r="V568" s="129"/>
    </row>
    <row r="569" spans="1:22" s="63" customFormat="1" ht="22.5" x14ac:dyDescent="0.25">
      <c r="A569" s="87">
        <v>5.0999999999999996</v>
      </c>
      <c r="B569" s="81" t="s">
        <v>45</v>
      </c>
      <c r="C569" s="82">
        <v>4</v>
      </c>
      <c r="D569" s="131" t="s">
        <v>611</v>
      </c>
      <c r="E569" s="83" t="s">
        <v>612</v>
      </c>
      <c r="F569" s="81" t="s">
        <v>207</v>
      </c>
      <c r="G569" s="84">
        <v>18.623999999999999</v>
      </c>
      <c r="H569" s="85"/>
      <c r="I569" s="86">
        <v>2767005.69</v>
      </c>
      <c r="J569" s="185">
        <f>ROUND($I569/$G569*$N$11,2)</f>
        <v>169164.13</v>
      </c>
      <c r="K569" s="189">
        <f>ROUND(G569*J569,2)</f>
        <v>3150512.76</v>
      </c>
      <c r="L569" s="189"/>
      <c r="M569" s="138"/>
      <c r="N569" s="138"/>
      <c r="O569" s="138"/>
      <c r="S569" s="72"/>
      <c r="T569" s="72"/>
      <c r="U569" s="72"/>
      <c r="V569" s="72"/>
    </row>
    <row r="570" spans="1:22" s="63" customFormat="1" ht="22.5" x14ac:dyDescent="0.25">
      <c r="A570" s="87">
        <v>5.1100000000000003</v>
      </c>
      <c r="B570" s="81" t="s">
        <v>45</v>
      </c>
      <c r="C570" s="82">
        <v>5</v>
      </c>
      <c r="D570" s="131" t="s">
        <v>611</v>
      </c>
      <c r="E570" s="83" t="s">
        <v>613</v>
      </c>
      <c r="F570" s="81" t="s">
        <v>207</v>
      </c>
      <c r="G570" s="84">
        <v>3.181</v>
      </c>
      <c r="H570" s="85"/>
      <c r="I570" s="86">
        <v>472607.92</v>
      </c>
      <c r="J570" s="185">
        <f>ROUND($I570/$G570*$N$11,2)</f>
        <v>169164.22</v>
      </c>
      <c r="K570" s="189">
        <f>ROUND(G570*J570,2)</f>
        <v>538111.38</v>
      </c>
      <c r="L570" s="189"/>
      <c r="M570" s="138"/>
      <c r="N570" s="138"/>
      <c r="O570" s="138"/>
      <c r="S570" s="72"/>
      <c r="T570" s="72"/>
      <c r="U570" s="72"/>
      <c r="V570" s="72"/>
    </row>
    <row r="571" spans="1:22" s="63" customFormat="1" ht="22.5" x14ac:dyDescent="0.25">
      <c r="A571" s="87">
        <v>5.12</v>
      </c>
      <c r="B571" s="81" t="s">
        <v>45</v>
      </c>
      <c r="C571" s="80">
        <v>5.0999999999999996</v>
      </c>
      <c r="D571" s="131" t="s">
        <v>614</v>
      </c>
      <c r="E571" s="83" t="s">
        <v>615</v>
      </c>
      <c r="F571" s="81" t="s">
        <v>370</v>
      </c>
      <c r="G571" s="84">
        <v>-327.64299999999997</v>
      </c>
      <c r="H571" s="85"/>
      <c r="I571" s="86">
        <v>-123477.91</v>
      </c>
      <c r="J571" s="185">
        <f>ROUND($I571/$G571*$N$11,2)</f>
        <v>429.1</v>
      </c>
      <c r="K571" s="189">
        <f>ROUND(G571*J571,2)</f>
        <v>-140591.60999999999</v>
      </c>
      <c r="L571" s="189"/>
      <c r="M571" s="138"/>
      <c r="N571" s="138"/>
      <c r="O571" s="138"/>
      <c r="S571" s="72"/>
      <c r="T571" s="72"/>
      <c r="U571" s="72"/>
      <c r="V571" s="72"/>
    </row>
    <row r="572" spans="1:22" s="63" customFormat="1" ht="22.5" x14ac:dyDescent="0.25">
      <c r="A572" s="87">
        <v>5.13</v>
      </c>
      <c r="B572" s="81" t="s">
        <v>45</v>
      </c>
      <c r="C572" s="80">
        <v>5.2</v>
      </c>
      <c r="D572" s="131" t="s">
        <v>616</v>
      </c>
      <c r="E572" s="83" t="s">
        <v>617</v>
      </c>
      <c r="F572" s="81" t="s">
        <v>370</v>
      </c>
      <c r="G572" s="80">
        <v>327.60000000000002</v>
      </c>
      <c r="H572" s="85"/>
      <c r="I572" s="86">
        <v>102447.67</v>
      </c>
      <c r="J572" s="185">
        <f>ROUND($I572/$G572*$N$11,2)</f>
        <v>356.07</v>
      </c>
      <c r="K572" s="189">
        <f>ROUND(G572*J572,2)</f>
        <v>116648.53</v>
      </c>
      <c r="L572" s="189"/>
      <c r="M572" s="138"/>
      <c r="N572" s="138"/>
      <c r="O572" s="138"/>
      <c r="S572" s="72"/>
      <c r="T572" s="72"/>
      <c r="U572" s="72"/>
      <c r="V572" s="72"/>
    </row>
    <row r="573" spans="1:22" s="128" customFormat="1" ht="12.75" x14ac:dyDescent="0.25">
      <c r="A573" s="237"/>
      <c r="B573" s="125"/>
      <c r="C573" s="236"/>
      <c r="D573" s="77"/>
      <c r="E573" s="126" t="s">
        <v>3265</v>
      </c>
      <c r="F573" s="125"/>
      <c r="G573" s="236"/>
      <c r="H573" s="127"/>
      <c r="I573" s="78"/>
      <c r="J573" s="238"/>
      <c r="K573" s="239"/>
      <c r="L573" s="239"/>
      <c r="M573" s="79"/>
      <c r="N573" s="79"/>
      <c r="O573" s="79"/>
      <c r="S573" s="129"/>
      <c r="T573" s="129"/>
      <c r="U573" s="129"/>
      <c r="V573" s="129"/>
    </row>
    <row r="574" spans="1:22" s="63" customFormat="1" ht="22.5" x14ac:dyDescent="0.25">
      <c r="A574" s="87">
        <v>5.14</v>
      </c>
      <c r="B574" s="81" t="s">
        <v>45</v>
      </c>
      <c r="C574" s="82">
        <v>6</v>
      </c>
      <c r="D574" s="131" t="s">
        <v>618</v>
      </c>
      <c r="E574" s="83" t="s">
        <v>619</v>
      </c>
      <c r="F574" s="81" t="s">
        <v>207</v>
      </c>
      <c r="G574" s="84">
        <v>9.4909999999999997</v>
      </c>
      <c r="H574" s="85"/>
      <c r="I574" s="86">
        <v>806712.6</v>
      </c>
      <c r="J574" s="185">
        <f t="shared" ref="J574:J588" si="76">ROUND($I574/$G574*$N$11,2)</f>
        <v>96778.31</v>
      </c>
      <c r="K574" s="189">
        <f t="shared" ref="K574:K588" si="77">ROUND(G574*J574,2)</f>
        <v>918522.94</v>
      </c>
      <c r="L574" s="189"/>
      <c r="M574" s="138"/>
      <c r="N574" s="138"/>
      <c r="O574" s="138"/>
      <c r="S574" s="72"/>
      <c r="T574" s="72"/>
      <c r="U574" s="72"/>
      <c r="V574" s="72"/>
    </row>
    <row r="575" spans="1:22" s="63" customFormat="1" ht="22.5" x14ac:dyDescent="0.25">
      <c r="A575" s="87">
        <v>5.15</v>
      </c>
      <c r="B575" s="81" t="s">
        <v>45</v>
      </c>
      <c r="C575" s="80">
        <v>6.1</v>
      </c>
      <c r="D575" s="131" t="s">
        <v>620</v>
      </c>
      <c r="E575" s="83" t="s">
        <v>621</v>
      </c>
      <c r="F575" s="81" t="s">
        <v>205</v>
      </c>
      <c r="G575" s="89">
        <v>-14.33141</v>
      </c>
      <c r="H575" s="85"/>
      <c r="I575" s="86">
        <v>-81338.850000000006</v>
      </c>
      <c r="J575" s="185">
        <f t="shared" si="76"/>
        <v>6462.2</v>
      </c>
      <c r="K575" s="189">
        <f t="shared" si="77"/>
        <v>-92612.44</v>
      </c>
      <c r="L575" s="189"/>
      <c r="M575" s="138"/>
      <c r="N575" s="138"/>
      <c r="O575" s="138"/>
      <c r="S575" s="72"/>
      <c r="T575" s="72"/>
      <c r="U575" s="72"/>
      <c r="V575" s="72"/>
    </row>
    <row r="576" spans="1:22" s="63" customFormat="1" ht="22.5" x14ac:dyDescent="0.25">
      <c r="A576" s="87">
        <v>5.16</v>
      </c>
      <c r="B576" s="81" t="s">
        <v>45</v>
      </c>
      <c r="C576" s="80">
        <v>6.2</v>
      </c>
      <c r="D576" s="131" t="s">
        <v>622</v>
      </c>
      <c r="E576" s="83" t="s">
        <v>623</v>
      </c>
      <c r="F576" s="81" t="s">
        <v>226</v>
      </c>
      <c r="G576" s="90">
        <v>21.497115000000001</v>
      </c>
      <c r="H576" s="85"/>
      <c r="I576" s="86">
        <v>1407168.4</v>
      </c>
      <c r="J576" s="185">
        <f t="shared" si="76"/>
        <v>74531.02</v>
      </c>
      <c r="K576" s="189">
        <f t="shared" si="77"/>
        <v>1602201.91</v>
      </c>
      <c r="L576" s="189"/>
      <c r="M576" s="138"/>
      <c r="N576" s="138"/>
      <c r="O576" s="138"/>
      <c r="S576" s="72"/>
      <c r="T576" s="72"/>
      <c r="U576" s="72"/>
      <c r="V576" s="72"/>
    </row>
    <row r="577" spans="1:22" s="63" customFormat="1" ht="22.5" x14ac:dyDescent="0.25">
      <c r="A577" s="87">
        <v>5.17</v>
      </c>
      <c r="B577" s="81" t="s">
        <v>45</v>
      </c>
      <c r="C577" s="82">
        <v>7</v>
      </c>
      <c r="D577" s="131" t="s">
        <v>624</v>
      </c>
      <c r="E577" s="83" t="s">
        <v>625</v>
      </c>
      <c r="F577" s="81" t="s">
        <v>207</v>
      </c>
      <c r="G577" s="88">
        <v>42.514499999999998</v>
      </c>
      <c r="H577" s="85"/>
      <c r="I577" s="86">
        <v>1256981.55</v>
      </c>
      <c r="J577" s="185">
        <f t="shared" si="76"/>
        <v>33663.79</v>
      </c>
      <c r="K577" s="189">
        <f t="shared" si="77"/>
        <v>1431199.2</v>
      </c>
      <c r="L577" s="189"/>
      <c r="M577" s="138"/>
      <c r="N577" s="138"/>
      <c r="O577" s="138"/>
      <c r="S577" s="72"/>
      <c r="T577" s="72"/>
      <c r="U577" s="72"/>
      <c r="V577" s="72"/>
    </row>
    <row r="578" spans="1:22" s="63" customFormat="1" ht="22.5" x14ac:dyDescent="0.25">
      <c r="A578" s="87">
        <v>5.18</v>
      </c>
      <c r="B578" s="81" t="s">
        <v>45</v>
      </c>
      <c r="C578" s="80">
        <v>7.1</v>
      </c>
      <c r="D578" s="131" t="s">
        <v>626</v>
      </c>
      <c r="E578" s="83" t="s">
        <v>627</v>
      </c>
      <c r="F578" s="81" t="s">
        <v>226</v>
      </c>
      <c r="G578" s="87">
        <v>36.14</v>
      </c>
      <c r="H578" s="85"/>
      <c r="I578" s="86">
        <v>387842.08</v>
      </c>
      <c r="J578" s="185">
        <f t="shared" si="76"/>
        <v>12219.06</v>
      </c>
      <c r="K578" s="189">
        <f t="shared" si="77"/>
        <v>441596.83</v>
      </c>
      <c r="L578" s="189"/>
      <c r="M578" s="138"/>
      <c r="N578" s="138"/>
      <c r="O578" s="138"/>
      <c r="S578" s="72"/>
      <c r="T578" s="72"/>
      <c r="U578" s="72"/>
      <c r="V578" s="72"/>
    </row>
    <row r="579" spans="1:22" s="63" customFormat="1" ht="22.5" x14ac:dyDescent="0.25">
      <c r="A579" s="87">
        <v>5.19</v>
      </c>
      <c r="B579" s="81" t="s">
        <v>45</v>
      </c>
      <c r="C579" s="80">
        <v>7.2</v>
      </c>
      <c r="D579" s="131" t="s">
        <v>607</v>
      </c>
      <c r="E579" s="83" t="s">
        <v>608</v>
      </c>
      <c r="F579" s="81" t="s">
        <v>213</v>
      </c>
      <c r="G579" s="87">
        <v>850.29</v>
      </c>
      <c r="H579" s="85"/>
      <c r="I579" s="86">
        <v>69012.25</v>
      </c>
      <c r="J579" s="185">
        <f t="shared" si="76"/>
        <v>92.41</v>
      </c>
      <c r="K579" s="189">
        <f t="shared" si="77"/>
        <v>78575.3</v>
      </c>
      <c r="L579" s="189"/>
      <c r="M579" s="138"/>
      <c r="N579" s="138"/>
      <c r="O579" s="138"/>
      <c r="S579" s="72"/>
      <c r="T579" s="72"/>
      <c r="U579" s="72"/>
      <c r="V579" s="72"/>
    </row>
    <row r="580" spans="1:22" s="63" customFormat="1" ht="22.5" x14ac:dyDescent="0.25">
      <c r="A580" s="87">
        <v>5.2</v>
      </c>
      <c r="B580" s="81" t="s">
        <v>45</v>
      </c>
      <c r="C580" s="80">
        <v>7.3</v>
      </c>
      <c r="D580" s="131" t="s">
        <v>628</v>
      </c>
      <c r="E580" s="83" t="s">
        <v>629</v>
      </c>
      <c r="F580" s="81" t="s">
        <v>583</v>
      </c>
      <c r="G580" s="88">
        <v>459.15660000000003</v>
      </c>
      <c r="H580" s="85"/>
      <c r="I580" s="86">
        <v>96224.57</v>
      </c>
      <c r="J580" s="185">
        <f t="shared" si="76"/>
        <v>238.61</v>
      </c>
      <c r="K580" s="189">
        <f t="shared" si="77"/>
        <v>109559.36</v>
      </c>
      <c r="L580" s="189"/>
      <c r="M580" s="138"/>
      <c r="N580" s="138"/>
      <c r="O580" s="138"/>
      <c r="S580" s="72"/>
      <c r="T580" s="72"/>
      <c r="U580" s="72"/>
      <c r="V580" s="72"/>
    </row>
    <row r="581" spans="1:22" s="63" customFormat="1" ht="22.5" x14ac:dyDescent="0.25">
      <c r="A581" s="87">
        <v>5.21</v>
      </c>
      <c r="B581" s="81" t="s">
        <v>45</v>
      </c>
      <c r="C581" s="82">
        <v>8</v>
      </c>
      <c r="D581" s="131" t="s">
        <v>630</v>
      </c>
      <c r="E581" s="83" t="s">
        <v>631</v>
      </c>
      <c r="F581" s="81" t="s">
        <v>207</v>
      </c>
      <c r="G581" s="88">
        <v>42.514499999999998</v>
      </c>
      <c r="H581" s="85"/>
      <c r="I581" s="86">
        <v>678127.66</v>
      </c>
      <c r="J581" s="185">
        <f t="shared" si="76"/>
        <v>18161.240000000002</v>
      </c>
      <c r="K581" s="189">
        <f t="shared" si="77"/>
        <v>772116.04</v>
      </c>
      <c r="L581" s="189"/>
      <c r="M581" s="138"/>
      <c r="N581" s="138"/>
      <c r="O581" s="138"/>
      <c r="S581" s="72"/>
      <c r="T581" s="72"/>
      <c r="U581" s="72"/>
      <c r="V581" s="72"/>
    </row>
    <row r="582" spans="1:22" s="63" customFormat="1" ht="22.5" x14ac:dyDescent="0.25">
      <c r="A582" s="87">
        <v>5.22</v>
      </c>
      <c r="B582" s="81" t="s">
        <v>45</v>
      </c>
      <c r="C582" s="82">
        <v>9</v>
      </c>
      <c r="D582" s="131" t="s">
        <v>632</v>
      </c>
      <c r="E582" s="83" t="s">
        <v>633</v>
      </c>
      <c r="F582" s="81" t="s">
        <v>207</v>
      </c>
      <c r="G582" s="88">
        <v>42.514499999999998</v>
      </c>
      <c r="H582" s="85"/>
      <c r="I582" s="86">
        <v>1938313.04</v>
      </c>
      <c r="J582" s="185">
        <f t="shared" si="76"/>
        <v>51910.84</v>
      </c>
      <c r="K582" s="189">
        <f t="shared" si="77"/>
        <v>2206963.41</v>
      </c>
      <c r="L582" s="189"/>
      <c r="M582" s="138"/>
      <c r="N582" s="138"/>
      <c r="O582" s="138"/>
      <c r="S582" s="72"/>
      <c r="T582" s="72"/>
      <c r="U582" s="72"/>
      <c r="V582" s="72"/>
    </row>
    <row r="583" spans="1:22" s="63" customFormat="1" ht="22.5" x14ac:dyDescent="0.25">
      <c r="A583" s="87">
        <v>5.23</v>
      </c>
      <c r="B583" s="81" t="s">
        <v>45</v>
      </c>
      <c r="C583" s="80">
        <v>9.1</v>
      </c>
      <c r="D583" s="131" t="s">
        <v>632</v>
      </c>
      <c r="E583" s="83" t="s">
        <v>633</v>
      </c>
      <c r="F583" s="81" t="s">
        <v>207</v>
      </c>
      <c r="G583" s="88">
        <v>42.514499999999998</v>
      </c>
      <c r="H583" s="85"/>
      <c r="I583" s="86">
        <v>1938313.04</v>
      </c>
      <c r="J583" s="185">
        <f t="shared" si="76"/>
        <v>51910.84</v>
      </c>
      <c r="K583" s="189">
        <f t="shared" si="77"/>
        <v>2206963.41</v>
      </c>
      <c r="L583" s="189"/>
      <c r="M583" s="138"/>
      <c r="N583" s="138"/>
      <c r="O583" s="138"/>
      <c r="S583" s="72"/>
      <c r="T583" s="72"/>
      <c r="U583" s="72"/>
      <c r="V583" s="72"/>
    </row>
    <row r="584" spans="1:22" s="63" customFormat="1" ht="22.5" x14ac:dyDescent="0.25">
      <c r="A584" s="87">
        <v>5.24</v>
      </c>
      <c r="B584" s="81" t="s">
        <v>45</v>
      </c>
      <c r="C584" s="80">
        <v>9.1999999999999993</v>
      </c>
      <c r="D584" s="131" t="s">
        <v>609</v>
      </c>
      <c r="E584" s="83" t="s">
        <v>610</v>
      </c>
      <c r="F584" s="81" t="s">
        <v>226</v>
      </c>
      <c r="G584" s="84">
        <v>2.6779999999999999</v>
      </c>
      <c r="H584" s="85"/>
      <c r="I584" s="86">
        <v>181383.77</v>
      </c>
      <c r="J584" s="185">
        <f t="shared" si="76"/>
        <v>77118.58</v>
      </c>
      <c r="K584" s="189">
        <f t="shared" si="77"/>
        <v>206523.56</v>
      </c>
      <c r="L584" s="189"/>
      <c r="M584" s="138"/>
      <c r="N584" s="138"/>
      <c r="O584" s="138"/>
      <c r="S584" s="72"/>
      <c r="T584" s="72"/>
      <c r="U584" s="72"/>
      <c r="V584" s="72"/>
    </row>
    <row r="585" spans="1:22" s="63" customFormat="1" ht="33.75" x14ac:dyDescent="0.25">
      <c r="A585" s="87">
        <v>5.25</v>
      </c>
      <c r="B585" s="81" t="s">
        <v>45</v>
      </c>
      <c r="C585" s="82">
        <v>10</v>
      </c>
      <c r="D585" s="131" t="s">
        <v>634</v>
      </c>
      <c r="E585" s="83" t="s">
        <v>635</v>
      </c>
      <c r="F585" s="81" t="s">
        <v>207</v>
      </c>
      <c r="G585" s="84">
        <v>13.835000000000001</v>
      </c>
      <c r="H585" s="85"/>
      <c r="I585" s="86">
        <v>2489186.89</v>
      </c>
      <c r="J585" s="185">
        <f t="shared" si="76"/>
        <v>204856.39</v>
      </c>
      <c r="K585" s="189">
        <f t="shared" si="77"/>
        <v>2834188.16</v>
      </c>
      <c r="L585" s="189"/>
      <c r="M585" s="138"/>
      <c r="N585" s="138"/>
      <c r="O585" s="138"/>
      <c r="S585" s="72"/>
      <c r="T585" s="72"/>
      <c r="U585" s="72"/>
      <c r="V585" s="72"/>
    </row>
    <row r="586" spans="1:22" s="63" customFormat="1" ht="22.5" x14ac:dyDescent="0.25">
      <c r="A586" s="87">
        <v>5.26</v>
      </c>
      <c r="B586" s="81" t="s">
        <v>45</v>
      </c>
      <c r="C586" s="80">
        <v>10.1</v>
      </c>
      <c r="D586" s="131" t="s">
        <v>636</v>
      </c>
      <c r="E586" s="83" t="s">
        <v>637</v>
      </c>
      <c r="F586" s="81" t="s">
        <v>226</v>
      </c>
      <c r="G586" s="89">
        <v>0.69174999999999998</v>
      </c>
      <c r="H586" s="85"/>
      <c r="I586" s="86">
        <v>12583.32</v>
      </c>
      <c r="J586" s="185">
        <f t="shared" si="76"/>
        <v>20711.77</v>
      </c>
      <c r="K586" s="189">
        <f t="shared" si="77"/>
        <v>14327.37</v>
      </c>
      <c r="L586" s="189"/>
      <c r="M586" s="138"/>
      <c r="N586" s="138"/>
      <c r="O586" s="138"/>
      <c r="S586" s="72"/>
      <c r="T586" s="72"/>
      <c r="U586" s="72"/>
      <c r="V586" s="72"/>
    </row>
    <row r="587" spans="1:22" s="63" customFormat="1" ht="22.5" x14ac:dyDescent="0.25">
      <c r="A587" s="87">
        <v>5.27</v>
      </c>
      <c r="B587" s="81" t="s">
        <v>45</v>
      </c>
      <c r="C587" s="80">
        <v>10.199999999999999</v>
      </c>
      <c r="D587" s="131" t="s">
        <v>638</v>
      </c>
      <c r="E587" s="83" t="s">
        <v>639</v>
      </c>
      <c r="F587" s="81" t="s">
        <v>370</v>
      </c>
      <c r="G587" s="84">
        <v>1369.665</v>
      </c>
      <c r="H587" s="85"/>
      <c r="I587" s="86">
        <v>1315023.04</v>
      </c>
      <c r="J587" s="185">
        <f t="shared" si="76"/>
        <v>1093.18</v>
      </c>
      <c r="K587" s="189">
        <f t="shared" si="77"/>
        <v>1497290.38</v>
      </c>
      <c r="L587" s="189"/>
      <c r="M587" s="138"/>
      <c r="N587" s="138"/>
      <c r="O587" s="138"/>
      <c r="S587" s="72"/>
      <c r="T587" s="72"/>
      <c r="U587" s="72"/>
      <c r="V587" s="72"/>
    </row>
    <row r="588" spans="1:22" s="63" customFormat="1" ht="22.5" x14ac:dyDescent="0.25">
      <c r="A588" s="87">
        <v>5.28</v>
      </c>
      <c r="B588" s="81" t="s">
        <v>45</v>
      </c>
      <c r="C588" s="80">
        <v>10.3</v>
      </c>
      <c r="D588" s="131" t="s">
        <v>640</v>
      </c>
      <c r="E588" s="83" t="s">
        <v>641</v>
      </c>
      <c r="F588" s="81" t="s">
        <v>226</v>
      </c>
      <c r="G588" s="90">
        <v>5.1881250000000003</v>
      </c>
      <c r="H588" s="85"/>
      <c r="I588" s="86">
        <v>77378.720000000001</v>
      </c>
      <c r="J588" s="185">
        <f t="shared" si="76"/>
        <v>16981.740000000002</v>
      </c>
      <c r="K588" s="189">
        <f t="shared" si="77"/>
        <v>88103.39</v>
      </c>
      <c r="L588" s="189"/>
      <c r="M588" s="138"/>
      <c r="N588" s="138"/>
      <c r="O588" s="138"/>
      <c r="S588" s="72"/>
      <c r="T588" s="72"/>
      <c r="U588" s="72"/>
      <c r="V588" s="72"/>
    </row>
    <row r="589" spans="1:22" s="128" customFormat="1" ht="12.75" x14ac:dyDescent="0.25">
      <c r="A589" s="237"/>
      <c r="B589" s="125"/>
      <c r="C589" s="236"/>
      <c r="D589" s="77"/>
      <c r="E589" s="126" t="s">
        <v>3266</v>
      </c>
      <c r="F589" s="125"/>
      <c r="G589" s="247"/>
      <c r="H589" s="127"/>
      <c r="I589" s="78"/>
      <c r="J589" s="238"/>
      <c r="K589" s="239"/>
      <c r="L589" s="239"/>
      <c r="M589" s="79"/>
      <c r="N589" s="79"/>
      <c r="O589" s="79"/>
      <c r="S589" s="129"/>
      <c r="T589" s="129"/>
      <c r="U589" s="129"/>
      <c r="V589" s="129"/>
    </row>
    <row r="590" spans="1:22" s="63" customFormat="1" ht="33.75" x14ac:dyDescent="0.25">
      <c r="A590" s="87">
        <v>5.29</v>
      </c>
      <c r="B590" s="81" t="s">
        <v>45</v>
      </c>
      <c r="C590" s="82">
        <v>11</v>
      </c>
      <c r="D590" s="131" t="s">
        <v>642</v>
      </c>
      <c r="E590" s="83" t="s">
        <v>643</v>
      </c>
      <c r="F590" s="81" t="s">
        <v>207</v>
      </c>
      <c r="G590" s="88">
        <v>2.1736</v>
      </c>
      <c r="H590" s="85"/>
      <c r="I590" s="86">
        <v>163372.23000000001</v>
      </c>
      <c r="J590" s="185">
        <f t="shared" ref="J590:J596" si="78">ROUND($I590/$G590*$N$11,2)</f>
        <v>85579.51</v>
      </c>
      <c r="K590" s="189">
        <f t="shared" ref="K590:K596" si="79">ROUND(G590*J590,2)</f>
        <v>186015.62</v>
      </c>
      <c r="L590" s="189"/>
      <c r="M590" s="138"/>
      <c r="N590" s="138"/>
      <c r="O590" s="138"/>
      <c r="S590" s="72"/>
      <c r="T590" s="72"/>
      <c r="U590" s="72"/>
      <c r="V590" s="72"/>
    </row>
    <row r="591" spans="1:22" s="63" customFormat="1" ht="22.5" x14ac:dyDescent="0.25">
      <c r="A591" s="87">
        <v>5.3</v>
      </c>
      <c r="B591" s="81" t="s">
        <v>45</v>
      </c>
      <c r="C591" s="80">
        <v>11.1</v>
      </c>
      <c r="D591" s="131" t="s">
        <v>626</v>
      </c>
      <c r="E591" s="83" t="s">
        <v>627</v>
      </c>
      <c r="F591" s="81" t="s">
        <v>226</v>
      </c>
      <c r="G591" s="84">
        <v>2.6739999999999999</v>
      </c>
      <c r="H591" s="85"/>
      <c r="I591" s="86">
        <v>28696.43</v>
      </c>
      <c r="J591" s="185">
        <f t="shared" si="78"/>
        <v>12219.06</v>
      </c>
      <c r="K591" s="189">
        <f t="shared" si="79"/>
        <v>32673.77</v>
      </c>
      <c r="L591" s="189"/>
      <c r="M591" s="138"/>
      <c r="N591" s="138"/>
      <c r="O591" s="138"/>
      <c r="S591" s="72"/>
      <c r="T591" s="72"/>
      <c r="U591" s="72"/>
      <c r="V591" s="72"/>
    </row>
    <row r="592" spans="1:22" s="63" customFormat="1" ht="22.5" x14ac:dyDescent="0.25">
      <c r="A592" s="87">
        <v>5.31</v>
      </c>
      <c r="B592" s="81" t="s">
        <v>45</v>
      </c>
      <c r="C592" s="80">
        <v>11.2</v>
      </c>
      <c r="D592" s="131" t="s">
        <v>607</v>
      </c>
      <c r="E592" s="83" t="s">
        <v>608</v>
      </c>
      <c r="F592" s="81" t="s">
        <v>213</v>
      </c>
      <c r="G592" s="84">
        <v>43.472000000000001</v>
      </c>
      <c r="H592" s="85"/>
      <c r="I592" s="86">
        <v>3528.29</v>
      </c>
      <c r="J592" s="185">
        <f t="shared" si="78"/>
        <v>92.41</v>
      </c>
      <c r="K592" s="189">
        <f t="shared" si="79"/>
        <v>4017.25</v>
      </c>
      <c r="L592" s="189"/>
      <c r="M592" s="138"/>
      <c r="N592" s="138"/>
      <c r="O592" s="138"/>
      <c r="S592" s="72"/>
      <c r="T592" s="72"/>
      <c r="U592" s="72"/>
      <c r="V592" s="72"/>
    </row>
    <row r="593" spans="1:22" s="63" customFormat="1" ht="22.5" x14ac:dyDescent="0.25">
      <c r="A593" s="87">
        <v>5.32</v>
      </c>
      <c r="B593" s="81" t="s">
        <v>45</v>
      </c>
      <c r="C593" s="82">
        <v>12</v>
      </c>
      <c r="D593" s="131" t="s">
        <v>630</v>
      </c>
      <c r="E593" s="83" t="s">
        <v>631</v>
      </c>
      <c r="F593" s="81" t="s">
        <v>207</v>
      </c>
      <c r="G593" s="88">
        <v>2.1736</v>
      </c>
      <c r="H593" s="85"/>
      <c r="I593" s="86">
        <v>34669.440000000002</v>
      </c>
      <c r="J593" s="185">
        <f t="shared" si="78"/>
        <v>18160.939999999999</v>
      </c>
      <c r="K593" s="189">
        <f t="shared" si="79"/>
        <v>39474.620000000003</v>
      </c>
      <c r="L593" s="189"/>
      <c r="M593" s="138"/>
      <c r="N593" s="138"/>
      <c r="O593" s="138"/>
      <c r="S593" s="72"/>
      <c r="T593" s="72"/>
      <c r="U593" s="72"/>
      <c r="V593" s="72"/>
    </row>
    <row r="594" spans="1:22" s="63" customFormat="1" ht="22.5" x14ac:dyDescent="0.25">
      <c r="A594" s="87">
        <v>5.33</v>
      </c>
      <c r="B594" s="81" t="s">
        <v>45</v>
      </c>
      <c r="C594" s="82">
        <v>13</v>
      </c>
      <c r="D594" s="131" t="s">
        <v>632</v>
      </c>
      <c r="E594" s="83" t="s">
        <v>633</v>
      </c>
      <c r="F594" s="81" t="s">
        <v>207</v>
      </c>
      <c r="G594" s="88">
        <v>2.1736</v>
      </c>
      <c r="H594" s="85"/>
      <c r="I594" s="86">
        <v>99098.57</v>
      </c>
      <c r="J594" s="185">
        <f t="shared" si="78"/>
        <v>51910.95</v>
      </c>
      <c r="K594" s="189">
        <f t="shared" si="79"/>
        <v>112833.64</v>
      </c>
      <c r="L594" s="189"/>
      <c r="M594" s="138"/>
      <c r="N594" s="138"/>
      <c r="O594" s="138"/>
      <c r="S594" s="72"/>
      <c r="T594" s="72"/>
      <c r="U594" s="72"/>
      <c r="V594" s="72"/>
    </row>
    <row r="595" spans="1:22" s="63" customFormat="1" ht="22.5" x14ac:dyDescent="0.25">
      <c r="A595" s="87">
        <v>5.34</v>
      </c>
      <c r="B595" s="81" t="s">
        <v>45</v>
      </c>
      <c r="C595" s="80">
        <v>13.1</v>
      </c>
      <c r="D595" s="131" t="s">
        <v>609</v>
      </c>
      <c r="E595" s="83" t="s">
        <v>610</v>
      </c>
      <c r="F595" s="81" t="s">
        <v>226</v>
      </c>
      <c r="G595" s="88">
        <v>6.5199999999999994E-2</v>
      </c>
      <c r="H595" s="85"/>
      <c r="I595" s="86">
        <v>4416.0200000000004</v>
      </c>
      <c r="J595" s="185">
        <f t="shared" si="78"/>
        <v>77117.8</v>
      </c>
      <c r="K595" s="189">
        <f t="shared" si="79"/>
        <v>5028.08</v>
      </c>
      <c r="L595" s="189"/>
      <c r="M595" s="138"/>
      <c r="N595" s="138"/>
      <c r="O595" s="138"/>
      <c r="S595" s="72"/>
      <c r="T595" s="72"/>
      <c r="U595" s="72"/>
      <c r="V595" s="72"/>
    </row>
    <row r="596" spans="1:22" s="63" customFormat="1" ht="22.5" x14ac:dyDescent="0.25">
      <c r="A596" s="87">
        <v>5.35</v>
      </c>
      <c r="B596" s="81" t="s">
        <v>45</v>
      </c>
      <c r="C596" s="80">
        <v>13.2</v>
      </c>
      <c r="D596" s="131" t="s">
        <v>607</v>
      </c>
      <c r="E596" s="83" t="s">
        <v>608</v>
      </c>
      <c r="F596" s="81" t="s">
        <v>213</v>
      </c>
      <c r="G596" s="88">
        <v>4.3499999999999997E-2</v>
      </c>
      <c r="H596" s="85"/>
      <c r="I596" s="86">
        <v>3.55</v>
      </c>
      <c r="J596" s="185">
        <f t="shared" si="78"/>
        <v>92.92</v>
      </c>
      <c r="K596" s="189">
        <f t="shared" si="79"/>
        <v>4.04</v>
      </c>
      <c r="L596" s="189"/>
      <c r="M596" s="138"/>
      <c r="N596" s="138"/>
      <c r="O596" s="138"/>
      <c r="S596" s="72"/>
      <c r="T596" s="72"/>
      <c r="U596" s="72"/>
      <c r="V596" s="72"/>
    </row>
    <row r="597" spans="1:22" s="128" customFormat="1" ht="12.75" x14ac:dyDescent="0.25">
      <c r="A597" s="237"/>
      <c r="B597" s="125"/>
      <c r="C597" s="236"/>
      <c r="D597" s="77"/>
      <c r="E597" s="126" t="s">
        <v>3267</v>
      </c>
      <c r="F597" s="125"/>
      <c r="G597" s="240"/>
      <c r="H597" s="127"/>
      <c r="I597" s="78"/>
      <c r="J597" s="238"/>
      <c r="K597" s="239"/>
      <c r="L597" s="239"/>
      <c r="M597" s="79"/>
      <c r="N597" s="79"/>
      <c r="O597" s="79"/>
      <c r="S597" s="129"/>
      <c r="T597" s="129"/>
      <c r="U597" s="129"/>
      <c r="V597" s="129"/>
    </row>
    <row r="598" spans="1:22" s="63" customFormat="1" ht="22.5" x14ac:dyDescent="0.25">
      <c r="A598" s="87">
        <v>5.36</v>
      </c>
      <c r="B598" s="81" t="s">
        <v>45</v>
      </c>
      <c r="C598" s="82">
        <v>14</v>
      </c>
      <c r="D598" s="131" t="s">
        <v>644</v>
      </c>
      <c r="E598" s="83" t="s">
        <v>645</v>
      </c>
      <c r="F598" s="81" t="s">
        <v>207</v>
      </c>
      <c r="G598" s="80">
        <v>3.4</v>
      </c>
      <c r="H598" s="85"/>
      <c r="I598" s="86">
        <v>336773.61</v>
      </c>
      <c r="J598" s="185">
        <f t="shared" ref="J598:J603" si="80">ROUND($I598/$G598*$N$11,2)</f>
        <v>112779.54</v>
      </c>
      <c r="K598" s="189">
        <f t="shared" ref="K598:K603" si="81">ROUND(G598*J598,2)</f>
        <v>383450.44</v>
      </c>
      <c r="L598" s="189"/>
      <c r="M598" s="138"/>
      <c r="N598" s="138"/>
      <c r="O598" s="138"/>
      <c r="S598" s="72"/>
      <c r="T598" s="72"/>
      <c r="U598" s="72"/>
      <c r="V598" s="72"/>
    </row>
    <row r="599" spans="1:22" s="63" customFormat="1" ht="22.5" x14ac:dyDescent="0.25">
      <c r="A599" s="87">
        <v>5.37</v>
      </c>
      <c r="B599" s="81" t="s">
        <v>45</v>
      </c>
      <c r="C599" s="80">
        <v>14.1</v>
      </c>
      <c r="D599" s="131" t="s">
        <v>595</v>
      </c>
      <c r="E599" s="83" t="s">
        <v>596</v>
      </c>
      <c r="F599" s="81" t="s">
        <v>370</v>
      </c>
      <c r="G599" s="82">
        <v>357</v>
      </c>
      <c r="H599" s="85"/>
      <c r="I599" s="86">
        <v>80902.48</v>
      </c>
      <c r="J599" s="185">
        <f t="shared" si="80"/>
        <v>258.02999999999997</v>
      </c>
      <c r="K599" s="189">
        <f t="shared" si="81"/>
        <v>92116.71</v>
      </c>
      <c r="L599" s="189"/>
      <c r="M599" s="138"/>
      <c r="N599" s="138"/>
      <c r="O599" s="138"/>
      <c r="S599" s="72"/>
      <c r="T599" s="72"/>
      <c r="U599" s="72"/>
      <c r="V599" s="72"/>
    </row>
    <row r="600" spans="1:22" s="63" customFormat="1" ht="22.5" x14ac:dyDescent="0.25">
      <c r="A600" s="87">
        <v>5.38</v>
      </c>
      <c r="B600" s="81" t="s">
        <v>45</v>
      </c>
      <c r="C600" s="82">
        <v>15</v>
      </c>
      <c r="D600" s="131" t="s">
        <v>630</v>
      </c>
      <c r="E600" s="83" t="s">
        <v>631</v>
      </c>
      <c r="F600" s="81" t="s">
        <v>207</v>
      </c>
      <c r="G600" s="80">
        <v>3.4</v>
      </c>
      <c r="H600" s="85"/>
      <c r="I600" s="86">
        <v>54231.77</v>
      </c>
      <c r="J600" s="185">
        <f t="shared" si="80"/>
        <v>18161.259999999998</v>
      </c>
      <c r="K600" s="189">
        <f t="shared" si="81"/>
        <v>61748.28</v>
      </c>
      <c r="L600" s="189"/>
      <c r="M600" s="138"/>
      <c r="N600" s="138"/>
      <c r="O600" s="138"/>
      <c r="S600" s="72"/>
      <c r="T600" s="72"/>
      <c r="U600" s="72"/>
      <c r="V600" s="72"/>
    </row>
    <row r="601" spans="1:22" s="63" customFormat="1" ht="22.5" x14ac:dyDescent="0.25">
      <c r="A601" s="87">
        <v>5.39</v>
      </c>
      <c r="B601" s="81" t="s">
        <v>45</v>
      </c>
      <c r="C601" s="82">
        <v>16</v>
      </c>
      <c r="D601" s="131" t="s">
        <v>632</v>
      </c>
      <c r="E601" s="83" t="s">
        <v>633</v>
      </c>
      <c r="F601" s="81" t="s">
        <v>207</v>
      </c>
      <c r="G601" s="80">
        <v>3.4</v>
      </c>
      <c r="H601" s="85"/>
      <c r="I601" s="86">
        <v>155012.32999999999</v>
      </c>
      <c r="J601" s="185">
        <f t="shared" si="80"/>
        <v>51910.89</v>
      </c>
      <c r="K601" s="189">
        <f t="shared" si="81"/>
        <v>176497.03</v>
      </c>
      <c r="L601" s="189"/>
      <c r="M601" s="138"/>
      <c r="N601" s="138"/>
      <c r="O601" s="138"/>
      <c r="S601" s="72"/>
      <c r="T601" s="72"/>
      <c r="U601" s="72"/>
      <c r="V601" s="72"/>
    </row>
    <row r="602" spans="1:22" s="63" customFormat="1" ht="22.5" x14ac:dyDescent="0.25">
      <c r="A602" s="87">
        <v>5.4</v>
      </c>
      <c r="B602" s="81" t="s">
        <v>45</v>
      </c>
      <c r="C602" s="80">
        <v>16.100000000000001</v>
      </c>
      <c r="D602" s="131" t="s">
        <v>609</v>
      </c>
      <c r="E602" s="83" t="s">
        <v>610</v>
      </c>
      <c r="F602" s="81" t="s">
        <v>226</v>
      </c>
      <c r="G602" s="84">
        <v>0.10199999999999999</v>
      </c>
      <c r="H602" s="85"/>
      <c r="I602" s="86">
        <v>6908.55</v>
      </c>
      <c r="J602" s="185">
        <f t="shared" si="80"/>
        <v>77118.38</v>
      </c>
      <c r="K602" s="189">
        <f t="shared" si="81"/>
        <v>7866.07</v>
      </c>
      <c r="L602" s="189"/>
      <c r="M602" s="138"/>
      <c r="N602" s="138"/>
      <c r="O602" s="138"/>
      <c r="S602" s="72"/>
      <c r="T602" s="72"/>
      <c r="U602" s="72"/>
      <c r="V602" s="72"/>
    </row>
    <row r="603" spans="1:22" s="63" customFormat="1" ht="22.5" x14ac:dyDescent="0.25">
      <c r="A603" s="87">
        <v>5.41</v>
      </c>
      <c r="B603" s="81" t="s">
        <v>45</v>
      </c>
      <c r="C603" s="80">
        <v>16.2</v>
      </c>
      <c r="D603" s="131" t="s">
        <v>607</v>
      </c>
      <c r="E603" s="83" t="s">
        <v>608</v>
      </c>
      <c r="F603" s="81" t="s">
        <v>213</v>
      </c>
      <c r="G603" s="84">
        <v>6.8000000000000005E-2</v>
      </c>
      <c r="H603" s="85"/>
      <c r="I603" s="86">
        <v>5.51</v>
      </c>
      <c r="J603" s="185">
        <f t="shared" si="80"/>
        <v>92.26</v>
      </c>
      <c r="K603" s="189">
        <f t="shared" si="81"/>
        <v>6.27</v>
      </c>
      <c r="L603" s="189"/>
      <c r="M603" s="138"/>
      <c r="N603" s="138"/>
      <c r="O603" s="138"/>
      <c r="S603" s="72"/>
      <c r="T603" s="72"/>
      <c r="U603" s="72"/>
      <c r="V603" s="72"/>
    </row>
    <row r="604" spans="1:22" s="128" customFormat="1" ht="12.75" x14ac:dyDescent="0.25">
      <c r="A604" s="237"/>
      <c r="B604" s="125"/>
      <c r="C604" s="236"/>
      <c r="D604" s="77"/>
      <c r="E604" s="126" t="s">
        <v>3268</v>
      </c>
      <c r="F604" s="125"/>
      <c r="G604" s="242"/>
      <c r="H604" s="127"/>
      <c r="I604" s="78"/>
      <c r="J604" s="238"/>
      <c r="K604" s="239"/>
      <c r="L604" s="239"/>
      <c r="M604" s="79"/>
      <c r="N604" s="79"/>
      <c r="O604" s="79"/>
      <c r="S604" s="129"/>
      <c r="T604" s="129"/>
      <c r="U604" s="129"/>
      <c r="V604" s="129"/>
    </row>
    <row r="605" spans="1:22" s="63" customFormat="1" ht="22.5" x14ac:dyDescent="0.25">
      <c r="A605" s="87">
        <v>5.42</v>
      </c>
      <c r="B605" s="81" t="s">
        <v>45</v>
      </c>
      <c r="C605" s="82">
        <v>17</v>
      </c>
      <c r="D605" s="131" t="s">
        <v>618</v>
      </c>
      <c r="E605" s="83" t="s">
        <v>619</v>
      </c>
      <c r="F605" s="81" t="s">
        <v>207</v>
      </c>
      <c r="G605" s="88">
        <v>0.68110000000000004</v>
      </c>
      <c r="H605" s="85"/>
      <c r="I605" s="86">
        <v>57892.32</v>
      </c>
      <c r="J605" s="185">
        <f t="shared" ref="J605:J612" si="82">ROUND($I605/$G605*$N$11,2)</f>
        <v>96779.03</v>
      </c>
      <c r="K605" s="189">
        <f t="shared" ref="K605:K612" si="83">ROUND(G605*J605,2)</f>
        <v>65916.2</v>
      </c>
      <c r="L605" s="189"/>
      <c r="M605" s="138"/>
      <c r="N605" s="138"/>
      <c r="O605" s="138"/>
      <c r="S605" s="72"/>
      <c r="T605" s="72"/>
      <c r="U605" s="72"/>
      <c r="V605" s="72"/>
    </row>
    <row r="606" spans="1:22" s="63" customFormat="1" ht="15" x14ac:dyDescent="0.25">
      <c r="A606" s="87">
        <v>5.43</v>
      </c>
      <c r="B606" s="81" t="s">
        <v>45</v>
      </c>
      <c r="C606" s="82">
        <v>18</v>
      </c>
      <c r="D606" s="131" t="s">
        <v>646</v>
      </c>
      <c r="E606" s="83" t="s">
        <v>647</v>
      </c>
      <c r="F606" s="81" t="s">
        <v>207</v>
      </c>
      <c r="G606" s="88">
        <v>0.68110000000000004</v>
      </c>
      <c r="H606" s="85"/>
      <c r="I606" s="86">
        <v>6583.98</v>
      </c>
      <c r="J606" s="185">
        <f t="shared" si="82"/>
        <v>11006.49</v>
      </c>
      <c r="K606" s="189">
        <f t="shared" si="83"/>
        <v>7496.52</v>
      </c>
      <c r="L606" s="189"/>
      <c r="M606" s="138"/>
      <c r="N606" s="138"/>
      <c r="O606" s="138"/>
      <c r="S606" s="72"/>
      <c r="T606" s="72"/>
      <c r="U606" s="72"/>
      <c r="V606" s="72"/>
    </row>
    <row r="607" spans="1:22" s="63" customFormat="1" ht="33.75" x14ac:dyDescent="0.25">
      <c r="A607" s="87">
        <v>5.44</v>
      </c>
      <c r="B607" s="81" t="s">
        <v>45</v>
      </c>
      <c r="C607" s="82">
        <v>19</v>
      </c>
      <c r="D607" s="131" t="s">
        <v>642</v>
      </c>
      <c r="E607" s="83" t="s">
        <v>643</v>
      </c>
      <c r="F607" s="81" t="s">
        <v>207</v>
      </c>
      <c r="G607" s="84">
        <v>1.2E-2</v>
      </c>
      <c r="H607" s="85"/>
      <c r="I607" s="86">
        <v>901.7</v>
      </c>
      <c r="J607" s="185">
        <f t="shared" si="82"/>
        <v>85556.3</v>
      </c>
      <c r="K607" s="189">
        <f t="shared" si="83"/>
        <v>1026.68</v>
      </c>
      <c r="L607" s="189"/>
      <c r="M607" s="138"/>
      <c r="N607" s="138"/>
      <c r="O607" s="138"/>
      <c r="S607" s="72"/>
      <c r="T607" s="72"/>
      <c r="U607" s="72"/>
      <c r="V607" s="72"/>
    </row>
    <row r="608" spans="1:22" s="63" customFormat="1" ht="22.5" x14ac:dyDescent="0.25">
      <c r="A608" s="87">
        <v>5.45</v>
      </c>
      <c r="B608" s="81" t="s">
        <v>45</v>
      </c>
      <c r="C608" s="80">
        <v>19.100000000000001</v>
      </c>
      <c r="D608" s="131" t="s">
        <v>626</v>
      </c>
      <c r="E608" s="83" t="s">
        <v>627</v>
      </c>
      <c r="F608" s="81" t="s">
        <v>226</v>
      </c>
      <c r="G608" s="88">
        <v>1.4800000000000001E-2</v>
      </c>
      <c r="H608" s="85"/>
      <c r="I608" s="86">
        <v>158.86000000000001</v>
      </c>
      <c r="J608" s="185">
        <f t="shared" si="82"/>
        <v>12221.49</v>
      </c>
      <c r="K608" s="189">
        <f t="shared" si="83"/>
        <v>180.88</v>
      </c>
      <c r="L608" s="189"/>
      <c r="M608" s="138"/>
      <c r="N608" s="138"/>
      <c r="O608" s="138"/>
      <c r="S608" s="72"/>
      <c r="T608" s="72"/>
      <c r="U608" s="72"/>
      <c r="V608" s="72"/>
    </row>
    <row r="609" spans="1:22" s="63" customFormat="1" ht="22.5" x14ac:dyDescent="0.25">
      <c r="A609" s="87">
        <v>5.46</v>
      </c>
      <c r="B609" s="81" t="s">
        <v>45</v>
      </c>
      <c r="C609" s="80">
        <v>19.2</v>
      </c>
      <c r="D609" s="131" t="s">
        <v>607</v>
      </c>
      <c r="E609" s="83" t="s">
        <v>608</v>
      </c>
      <c r="F609" s="81" t="s">
        <v>213</v>
      </c>
      <c r="G609" s="87">
        <v>0.24</v>
      </c>
      <c r="H609" s="85"/>
      <c r="I609" s="86">
        <v>19.45</v>
      </c>
      <c r="J609" s="185">
        <f t="shared" si="82"/>
        <v>92.27</v>
      </c>
      <c r="K609" s="189">
        <f t="shared" si="83"/>
        <v>22.14</v>
      </c>
      <c r="L609" s="189"/>
      <c r="M609" s="138"/>
      <c r="N609" s="138"/>
      <c r="O609" s="138"/>
      <c r="S609" s="72"/>
      <c r="T609" s="72"/>
      <c r="U609" s="72"/>
      <c r="V609" s="72"/>
    </row>
    <row r="610" spans="1:22" s="63" customFormat="1" ht="15" x14ac:dyDescent="0.25">
      <c r="A610" s="87">
        <v>5.47</v>
      </c>
      <c r="B610" s="81" t="s">
        <v>45</v>
      </c>
      <c r="C610" s="82">
        <v>20</v>
      </c>
      <c r="D610" s="131" t="s">
        <v>646</v>
      </c>
      <c r="E610" s="83" t="s">
        <v>647</v>
      </c>
      <c r="F610" s="81" t="s">
        <v>207</v>
      </c>
      <c r="G610" s="84">
        <v>1.2E-2</v>
      </c>
      <c r="H610" s="85"/>
      <c r="I610" s="86">
        <v>115.27</v>
      </c>
      <c r="J610" s="185">
        <f t="shared" si="82"/>
        <v>10937.2</v>
      </c>
      <c r="K610" s="189">
        <f t="shared" si="83"/>
        <v>131.25</v>
      </c>
      <c r="L610" s="189"/>
      <c r="M610" s="138"/>
      <c r="N610" s="138"/>
      <c r="O610" s="138"/>
      <c r="S610" s="72"/>
      <c r="T610" s="72"/>
      <c r="U610" s="72"/>
      <c r="V610" s="72"/>
    </row>
    <row r="611" spans="1:22" s="63" customFormat="1" ht="15" x14ac:dyDescent="0.25">
      <c r="A611" s="87">
        <v>5.48</v>
      </c>
      <c r="B611" s="81" t="s">
        <v>45</v>
      </c>
      <c r="C611" s="82">
        <v>21</v>
      </c>
      <c r="D611" s="131" t="s">
        <v>341</v>
      </c>
      <c r="E611" s="83" t="s">
        <v>342</v>
      </c>
      <c r="F611" s="81" t="s">
        <v>207</v>
      </c>
      <c r="G611" s="88">
        <v>3.3999999999999998E-3</v>
      </c>
      <c r="H611" s="85"/>
      <c r="I611" s="86">
        <v>25.09</v>
      </c>
      <c r="J611" s="185">
        <f t="shared" si="82"/>
        <v>8402.2000000000007</v>
      </c>
      <c r="K611" s="189">
        <f t="shared" si="83"/>
        <v>28.57</v>
      </c>
      <c r="L611" s="189"/>
      <c r="M611" s="138"/>
      <c r="N611" s="138"/>
      <c r="O611" s="138"/>
      <c r="S611" s="72"/>
      <c r="T611" s="72"/>
      <c r="U611" s="72"/>
      <c r="V611" s="72"/>
    </row>
    <row r="612" spans="1:22" s="63" customFormat="1" ht="22.5" x14ac:dyDescent="0.25">
      <c r="A612" s="87">
        <v>5.49</v>
      </c>
      <c r="B612" s="81" t="s">
        <v>45</v>
      </c>
      <c r="C612" s="82">
        <v>22</v>
      </c>
      <c r="D612" s="131" t="s">
        <v>648</v>
      </c>
      <c r="E612" s="83" t="s">
        <v>649</v>
      </c>
      <c r="F612" s="81" t="s">
        <v>207</v>
      </c>
      <c r="G612" s="88">
        <v>3.3999999999999998E-3</v>
      </c>
      <c r="H612" s="85"/>
      <c r="I612" s="86">
        <v>24.27</v>
      </c>
      <c r="J612" s="185">
        <f t="shared" si="82"/>
        <v>8127.59</v>
      </c>
      <c r="K612" s="189">
        <f t="shared" si="83"/>
        <v>27.63</v>
      </c>
      <c r="L612" s="189"/>
      <c r="M612" s="138"/>
      <c r="N612" s="138"/>
      <c r="O612" s="138"/>
      <c r="S612" s="72"/>
      <c r="T612" s="72"/>
      <c r="U612" s="72"/>
      <c r="V612" s="72"/>
    </row>
    <row r="613" spans="1:22" s="63" customFormat="1" ht="15" x14ac:dyDescent="0.25">
      <c r="A613" s="194">
        <v>6</v>
      </c>
      <c r="B613" s="418" t="s">
        <v>650</v>
      </c>
      <c r="C613" s="418"/>
      <c r="D613" s="418"/>
      <c r="E613" s="195" t="s">
        <v>47</v>
      </c>
      <c r="F613" s="196"/>
      <c r="G613" s="194">
        <v>1</v>
      </c>
      <c r="H613" s="197">
        <v>912055.82</v>
      </c>
      <c r="I613" s="355">
        <f>SUM(I616:I704)</f>
        <v>912055.82000000018</v>
      </c>
      <c r="J613" s="200"/>
      <c r="K613" s="198">
        <f>SUM(K616:K704)</f>
        <v>1038311.5200000004</v>
      </c>
      <c r="L613" s="198"/>
      <c r="M613" s="207"/>
      <c r="N613" s="209"/>
      <c r="O613" s="138"/>
      <c r="S613" s="72"/>
      <c r="T613" s="72"/>
      <c r="U613" s="72"/>
      <c r="V613" s="72"/>
    </row>
    <row r="614" spans="1:22" s="97" customFormat="1" ht="15" x14ac:dyDescent="0.25">
      <c r="A614" s="91"/>
      <c r="B614" s="92"/>
      <c r="C614" s="92"/>
      <c r="D614" s="166"/>
      <c r="E614" s="93" t="s">
        <v>651</v>
      </c>
      <c r="F614" s="94"/>
      <c r="G614" s="91"/>
      <c r="H614" s="95"/>
      <c r="I614" s="96">
        <f>I701</f>
        <v>7662.19</v>
      </c>
      <c r="J614" s="191"/>
      <c r="K614" s="96">
        <f>K701</f>
        <v>8570.16</v>
      </c>
      <c r="L614" s="96"/>
      <c r="M614" s="207"/>
      <c r="N614" s="209"/>
      <c r="O614" s="184"/>
      <c r="S614" s="100"/>
      <c r="T614" s="100"/>
      <c r="U614" s="100"/>
      <c r="V614" s="100"/>
    </row>
    <row r="615" spans="1:22" s="179" customFormat="1" ht="15" x14ac:dyDescent="0.25">
      <c r="A615" s="216"/>
      <c r="B615" s="217"/>
      <c r="C615" s="217"/>
      <c r="D615" s="248"/>
      <c r="E615" s="218" t="s">
        <v>3269</v>
      </c>
      <c r="F615" s="219"/>
      <c r="G615" s="216"/>
      <c r="H615" s="220"/>
      <c r="I615" s="221"/>
      <c r="J615" s="244"/>
      <c r="K615" s="221"/>
      <c r="L615" s="221"/>
      <c r="M615" s="207"/>
      <c r="N615" s="209"/>
      <c r="O615" s="138"/>
      <c r="S615" s="72"/>
      <c r="T615" s="72"/>
      <c r="U615" s="72"/>
      <c r="V615" s="72"/>
    </row>
    <row r="616" spans="1:22" s="63" customFormat="1" ht="22.5" x14ac:dyDescent="0.25">
      <c r="A616" s="80">
        <v>6.1</v>
      </c>
      <c r="B616" s="81" t="s">
        <v>46</v>
      </c>
      <c r="C616" s="82">
        <v>1</v>
      </c>
      <c r="D616" s="131" t="s">
        <v>652</v>
      </c>
      <c r="E616" s="83" t="s">
        <v>653</v>
      </c>
      <c r="F616" s="81" t="s">
        <v>354</v>
      </c>
      <c r="G616" s="87">
        <v>3.15</v>
      </c>
      <c r="H616" s="85"/>
      <c r="I616" s="86">
        <v>206366.07999999999</v>
      </c>
      <c r="J616" s="185">
        <f t="shared" ref="J616:J631" si="84">ROUND($I616/$G616*$N$11,2)</f>
        <v>74593.149999999994</v>
      </c>
      <c r="K616" s="189">
        <f t="shared" ref="K616:K631" si="85">ROUND(G616*J616,2)</f>
        <v>234968.42</v>
      </c>
      <c r="L616" s="189"/>
      <c r="M616" s="138"/>
      <c r="N616" s="138"/>
      <c r="O616" s="138"/>
      <c r="S616" s="72"/>
      <c r="T616" s="72"/>
      <c r="U616" s="72"/>
      <c r="V616" s="72"/>
    </row>
    <row r="617" spans="1:22" s="63" customFormat="1" ht="22.5" x14ac:dyDescent="0.25">
      <c r="A617" s="80">
        <v>6.2</v>
      </c>
      <c r="B617" s="81" t="s">
        <v>46</v>
      </c>
      <c r="C617" s="80">
        <v>1.1000000000000001</v>
      </c>
      <c r="D617" s="131" t="s">
        <v>654</v>
      </c>
      <c r="E617" s="83" t="s">
        <v>655</v>
      </c>
      <c r="F617" s="81" t="s">
        <v>216</v>
      </c>
      <c r="G617" s="87">
        <v>0.38</v>
      </c>
      <c r="H617" s="85"/>
      <c r="I617" s="86">
        <v>475.79</v>
      </c>
      <c r="J617" s="185">
        <f t="shared" si="84"/>
        <v>1425.62</v>
      </c>
      <c r="K617" s="189">
        <f t="shared" si="85"/>
        <v>541.74</v>
      </c>
      <c r="L617" s="189"/>
      <c r="M617" s="138"/>
      <c r="N617" s="138"/>
      <c r="O617" s="138"/>
      <c r="S617" s="72"/>
      <c r="T617" s="72"/>
      <c r="U617" s="72"/>
      <c r="V617" s="72"/>
    </row>
    <row r="618" spans="1:22" s="63" customFormat="1" ht="22.5" x14ac:dyDescent="0.25">
      <c r="A618" s="80">
        <v>6.3</v>
      </c>
      <c r="B618" s="81" t="s">
        <v>46</v>
      </c>
      <c r="C618" s="80">
        <v>1.2</v>
      </c>
      <c r="D618" s="131" t="s">
        <v>656</v>
      </c>
      <c r="E618" s="83" t="s">
        <v>657</v>
      </c>
      <c r="F618" s="81" t="s">
        <v>334</v>
      </c>
      <c r="G618" s="80">
        <v>314.39999999999998</v>
      </c>
      <c r="H618" s="85"/>
      <c r="I618" s="86">
        <v>121502.29</v>
      </c>
      <c r="J618" s="185">
        <f t="shared" si="84"/>
        <v>440.02</v>
      </c>
      <c r="K618" s="189">
        <f t="shared" si="85"/>
        <v>138342.29</v>
      </c>
      <c r="L618" s="189"/>
      <c r="M618" s="138"/>
      <c r="N618" s="138"/>
      <c r="O618" s="138"/>
      <c r="S618" s="72"/>
      <c r="T618" s="72"/>
      <c r="U618" s="72"/>
      <c r="V618" s="72"/>
    </row>
    <row r="619" spans="1:22" s="63" customFormat="1" ht="22.5" x14ac:dyDescent="0.25">
      <c r="A619" s="80">
        <v>6.4</v>
      </c>
      <c r="B619" s="81" t="s">
        <v>46</v>
      </c>
      <c r="C619" s="82">
        <v>2</v>
      </c>
      <c r="D619" s="131" t="s">
        <v>658</v>
      </c>
      <c r="E619" s="83" t="s">
        <v>659</v>
      </c>
      <c r="F619" s="81" t="s">
        <v>354</v>
      </c>
      <c r="G619" s="80">
        <v>0.3</v>
      </c>
      <c r="H619" s="85"/>
      <c r="I619" s="86">
        <v>20756.23</v>
      </c>
      <c r="J619" s="185">
        <f t="shared" si="84"/>
        <v>78776.81</v>
      </c>
      <c r="K619" s="189">
        <f t="shared" si="85"/>
        <v>23633.040000000001</v>
      </c>
      <c r="L619" s="189"/>
      <c r="M619" s="138"/>
      <c r="N619" s="138"/>
      <c r="O619" s="138"/>
      <c r="S619" s="72"/>
      <c r="T619" s="72"/>
      <c r="U619" s="72"/>
      <c r="V619" s="72"/>
    </row>
    <row r="620" spans="1:22" s="63" customFormat="1" ht="22.5" x14ac:dyDescent="0.25">
      <c r="A620" s="80">
        <v>6.5</v>
      </c>
      <c r="B620" s="81" t="s">
        <v>46</v>
      </c>
      <c r="C620" s="80">
        <v>2.1</v>
      </c>
      <c r="D620" s="131" t="s">
        <v>660</v>
      </c>
      <c r="E620" s="83" t="s">
        <v>661</v>
      </c>
      <c r="F620" s="81" t="s">
        <v>216</v>
      </c>
      <c r="G620" s="87">
        <v>0.04</v>
      </c>
      <c r="H620" s="85"/>
      <c r="I620" s="86">
        <v>26.28</v>
      </c>
      <c r="J620" s="185">
        <f t="shared" si="84"/>
        <v>748.06</v>
      </c>
      <c r="K620" s="189">
        <f t="shared" si="85"/>
        <v>29.92</v>
      </c>
      <c r="L620" s="189"/>
      <c r="M620" s="138"/>
      <c r="N620" s="138"/>
      <c r="O620" s="138"/>
      <c r="S620" s="72"/>
      <c r="T620" s="72"/>
      <c r="U620" s="72"/>
      <c r="V620" s="72"/>
    </row>
    <row r="621" spans="1:22" s="63" customFormat="1" ht="22.5" x14ac:dyDescent="0.25">
      <c r="A621" s="80">
        <v>6.6</v>
      </c>
      <c r="B621" s="81" t="s">
        <v>46</v>
      </c>
      <c r="C621" s="80">
        <v>2.2000000000000002</v>
      </c>
      <c r="D621" s="131" t="s">
        <v>662</v>
      </c>
      <c r="E621" s="83" t="s">
        <v>663</v>
      </c>
      <c r="F621" s="81" t="s">
        <v>334</v>
      </c>
      <c r="G621" s="87">
        <v>29.94</v>
      </c>
      <c r="H621" s="85"/>
      <c r="I621" s="86">
        <v>2759.73</v>
      </c>
      <c r="J621" s="185">
        <f t="shared" si="84"/>
        <v>104.95</v>
      </c>
      <c r="K621" s="189">
        <f t="shared" si="85"/>
        <v>3142.2</v>
      </c>
      <c r="L621" s="189"/>
      <c r="M621" s="138"/>
      <c r="N621" s="138"/>
      <c r="O621" s="138"/>
      <c r="S621" s="72"/>
      <c r="T621" s="72"/>
      <c r="U621" s="72"/>
      <c r="V621" s="72"/>
    </row>
    <row r="622" spans="1:22" s="63" customFormat="1" ht="22.5" x14ac:dyDescent="0.25">
      <c r="A622" s="80">
        <v>6.7</v>
      </c>
      <c r="B622" s="81" t="s">
        <v>46</v>
      </c>
      <c r="C622" s="80">
        <v>2.2999999999999998</v>
      </c>
      <c r="D622" s="131" t="s">
        <v>664</v>
      </c>
      <c r="E622" s="83" t="s">
        <v>665</v>
      </c>
      <c r="F622" s="81" t="s">
        <v>219</v>
      </c>
      <c r="G622" s="82">
        <v>31</v>
      </c>
      <c r="H622" s="85"/>
      <c r="I622" s="86">
        <v>4178.75</v>
      </c>
      <c r="J622" s="185">
        <f t="shared" si="84"/>
        <v>153.47999999999999</v>
      </c>
      <c r="K622" s="189">
        <f t="shared" si="85"/>
        <v>4757.88</v>
      </c>
      <c r="L622" s="189"/>
      <c r="M622" s="138"/>
      <c r="N622" s="138"/>
      <c r="O622" s="138"/>
      <c r="S622" s="72"/>
      <c r="T622" s="72"/>
      <c r="U622" s="72"/>
      <c r="V622" s="72"/>
    </row>
    <row r="623" spans="1:22" s="63" customFormat="1" ht="22.5" x14ac:dyDescent="0.25">
      <c r="A623" s="80">
        <v>6.8</v>
      </c>
      <c r="B623" s="81" t="s">
        <v>46</v>
      </c>
      <c r="C623" s="80">
        <v>2.4</v>
      </c>
      <c r="D623" s="131" t="s">
        <v>664</v>
      </c>
      <c r="E623" s="83" t="s">
        <v>666</v>
      </c>
      <c r="F623" s="81" t="s">
        <v>219</v>
      </c>
      <c r="G623" s="82">
        <v>8</v>
      </c>
      <c r="H623" s="85"/>
      <c r="I623" s="86">
        <v>1078.3900000000001</v>
      </c>
      <c r="J623" s="185">
        <f t="shared" si="84"/>
        <v>153.47999999999999</v>
      </c>
      <c r="K623" s="189">
        <f t="shared" si="85"/>
        <v>1227.8399999999999</v>
      </c>
      <c r="L623" s="189"/>
      <c r="M623" s="138"/>
      <c r="N623" s="138"/>
      <c r="O623" s="138"/>
      <c r="S623" s="72"/>
      <c r="T623" s="72"/>
      <c r="U623" s="72"/>
      <c r="V623" s="72"/>
    </row>
    <row r="624" spans="1:22" s="63" customFormat="1" ht="22.5" x14ac:dyDescent="0.25">
      <c r="A624" s="80">
        <v>6.9</v>
      </c>
      <c r="B624" s="81" t="s">
        <v>46</v>
      </c>
      <c r="C624" s="80">
        <v>2.5</v>
      </c>
      <c r="D624" s="131" t="s">
        <v>667</v>
      </c>
      <c r="E624" s="83" t="s">
        <v>668</v>
      </c>
      <c r="F624" s="81" t="s">
        <v>566</v>
      </c>
      <c r="G624" s="82">
        <v>2</v>
      </c>
      <c r="H624" s="85"/>
      <c r="I624" s="86">
        <v>8505.26</v>
      </c>
      <c r="J624" s="185">
        <f t="shared" si="84"/>
        <v>4842.04</v>
      </c>
      <c r="K624" s="189">
        <f t="shared" si="85"/>
        <v>9684.08</v>
      </c>
      <c r="L624" s="189"/>
      <c r="M624" s="138"/>
      <c r="N624" s="138"/>
      <c r="O624" s="138"/>
      <c r="S624" s="72"/>
      <c r="T624" s="72"/>
      <c r="U624" s="72"/>
      <c r="V624" s="72"/>
    </row>
    <row r="625" spans="1:22" s="63" customFormat="1" ht="22.5" x14ac:dyDescent="0.25">
      <c r="A625" s="87">
        <v>6.1</v>
      </c>
      <c r="B625" s="81" t="s">
        <v>46</v>
      </c>
      <c r="C625" s="80">
        <v>2.6</v>
      </c>
      <c r="D625" s="131" t="s">
        <v>669</v>
      </c>
      <c r="E625" s="83" t="s">
        <v>670</v>
      </c>
      <c r="F625" s="81" t="s">
        <v>566</v>
      </c>
      <c r="G625" s="80">
        <v>0.5</v>
      </c>
      <c r="H625" s="85"/>
      <c r="I625" s="86">
        <v>200.24</v>
      </c>
      <c r="J625" s="185">
        <f t="shared" si="84"/>
        <v>455.99</v>
      </c>
      <c r="K625" s="189">
        <f t="shared" si="85"/>
        <v>228</v>
      </c>
      <c r="L625" s="189"/>
      <c r="M625" s="138"/>
      <c r="N625" s="138"/>
      <c r="O625" s="138"/>
      <c r="S625" s="72"/>
      <c r="T625" s="72"/>
      <c r="U625" s="72"/>
      <c r="V625" s="72"/>
    </row>
    <row r="626" spans="1:22" s="63" customFormat="1" ht="22.5" x14ac:dyDescent="0.25">
      <c r="A626" s="87">
        <v>6.11</v>
      </c>
      <c r="B626" s="81" t="s">
        <v>46</v>
      </c>
      <c r="C626" s="82">
        <v>3</v>
      </c>
      <c r="D626" s="131" t="s">
        <v>671</v>
      </c>
      <c r="E626" s="83" t="s">
        <v>672</v>
      </c>
      <c r="F626" s="81" t="s">
        <v>566</v>
      </c>
      <c r="G626" s="80">
        <v>0.4</v>
      </c>
      <c r="H626" s="85"/>
      <c r="I626" s="86">
        <v>4721.5200000000004</v>
      </c>
      <c r="J626" s="185">
        <f t="shared" si="84"/>
        <v>13439.81</v>
      </c>
      <c r="K626" s="189">
        <f t="shared" si="85"/>
        <v>5375.92</v>
      </c>
      <c r="L626" s="189"/>
      <c r="M626" s="138"/>
      <c r="N626" s="138"/>
      <c r="O626" s="138"/>
      <c r="S626" s="72"/>
      <c r="T626" s="72"/>
      <c r="U626" s="72"/>
      <c r="V626" s="72"/>
    </row>
    <row r="627" spans="1:22" s="63" customFormat="1" ht="22.5" x14ac:dyDescent="0.25">
      <c r="A627" s="87">
        <v>6.12</v>
      </c>
      <c r="B627" s="81" t="s">
        <v>46</v>
      </c>
      <c r="C627" s="80">
        <v>3.1</v>
      </c>
      <c r="D627" s="131" t="s">
        <v>673</v>
      </c>
      <c r="E627" s="83" t="s">
        <v>674</v>
      </c>
      <c r="F627" s="81" t="s">
        <v>219</v>
      </c>
      <c r="G627" s="82">
        <v>4</v>
      </c>
      <c r="H627" s="85"/>
      <c r="I627" s="86">
        <v>10357.280000000001</v>
      </c>
      <c r="J627" s="185">
        <f t="shared" si="84"/>
        <v>2948.2</v>
      </c>
      <c r="K627" s="189">
        <f t="shared" si="85"/>
        <v>11792.8</v>
      </c>
      <c r="L627" s="189"/>
      <c r="M627" s="138"/>
      <c r="N627" s="138"/>
      <c r="O627" s="138"/>
      <c r="S627" s="72"/>
      <c r="T627" s="72"/>
      <c r="U627" s="72"/>
      <c r="V627" s="72"/>
    </row>
    <row r="628" spans="1:22" s="63" customFormat="1" ht="22.5" x14ac:dyDescent="0.25">
      <c r="A628" s="87">
        <v>6.13</v>
      </c>
      <c r="B628" s="81" t="s">
        <v>46</v>
      </c>
      <c r="C628" s="80">
        <v>3.2</v>
      </c>
      <c r="D628" s="131" t="s">
        <v>675</v>
      </c>
      <c r="E628" s="83" t="s">
        <v>676</v>
      </c>
      <c r="F628" s="81" t="s">
        <v>219</v>
      </c>
      <c r="G628" s="82">
        <v>32</v>
      </c>
      <c r="H628" s="85"/>
      <c r="I628" s="86">
        <v>28180.15</v>
      </c>
      <c r="J628" s="185">
        <f t="shared" si="84"/>
        <v>1002.68</v>
      </c>
      <c r="K628" s="189">
        <f t="shared" si="85"/>
        <v>32085.759999999998</v>
      </c>
      <c r="L628" s="189"/>
      <c r="M628" s="138"/>
      <c r="N628" s="138"/>
      <c r="O628" s="138"/>
      <c r="S628" s="72"/>
      <c r="T628" s="72"/>
      <c r="U628" s="72"/>
      <c r="V628" s="72"/>
    </row>
    <row r="629" spans="1:22" s="63" customFormat="1" ht="22.5" x14ac:dyDescent="0.25">
      <c r="A629" s="87">
        <v>6.14</v>
      </c>
      <c r="B629" s="81" t="s">
        <v>46</v>
      </c>
      <c r="C629" s="80">
        <v>3.3</v>
      </c>
      <c r="D629" s="131" t="s">
        <v>677</v>
      </c>
      <c r="E629" s="83" t="s">
        <v>678</v>
      </c>
      <c r="F629" s="81" t="s">
        <v>219</v>
      </c>
      <c r="G629" s="82">
        <v>23</v>
      </c>
      <c r="H629" s="85"/>
      <c r="I629" s="86">
        <v>28934.68</v>
      </c>
      <c r="J629" s="185">
        <f t="shared" si="84"/>
        <v>1432.39</v>
      </c>
      <c r="K629" s="189">
        <f t="shared" si="85"/>
        <v>32944.97</v>
      </c>
      <c r="L629" s="189"/>
      <c r="M629" s="138"/>
      <c r="N629" s="138"/>
      <c r="O629" s="138"/>
      <c r="S629" s="72"/>
      <c r="T629" s="72"/>
      <c r="U629" s="72"/>
      <c r="V629" s="72"/>
    </row>
    <row r="630" spans="1:22" s="63" customFormat="1" ht="22.5" x14ac:dyDescent="0.25">
      <c r="A630" s="87">
        <v>6.15</v>
      </c>
      <c r="B630" s="81" t="s">
        <v>46</v>
      </c>
      <c r="C630" s="80">
        <v>3.4</v>
      </c>
      <c r="D630" s="131" t="s">
        <v>679</v>
      </c>
      <c r="E630" s="83" t="s">
        <v>3483</v>
      </c>
      <c r="F630" s="81" t="s">
        <v>219</v>
      </c>
      <c r="G630" s="82">
        <v>20</v>
      </c>
      <c r="H630" s="85"/>
      <c r="I630" s="86">
        <v>523.29999999999995</v>
      </c>
      <c r="J630" s="185">
        <f t="shared" si="84"/>
        <v>29.79</v>
      </c>
      <c r="K630" s="189">
        <f t="shared" si="85"/>
        <v>595.79999999999995</v>
      </c>
      <c r="L630" s="189"/>
      <c r="M630" s="138"/>
      <c r="N630" s="138"/>
      <c r="O630" s="138"/>
      <c r="S630" s="72"/>
      <c r="T630" s="72"/>
      <c r="U630" s="72"/>
      <c r="V630" s="72"/>
    </row>
    <row r="631" spans="1:22" s="63" customFormat="1" ht="22.5" x14ac:dyDescent="0.25">
      <c r="A631" s="87">
        <v>6.16</v>
      </c>
      <c r="B631" s="81" t="s">
        <v>46</v>
      </c>
      <c r="C631" s="80">
        <v>3.5</v>
      </c>
      <c r="D631" s="131" t="s">
        <v>680</v>
      </c>
      <c r="E631" s="83" t="s">
        <v>3484</v>
      </c>
      <c r="F631" s="81" t="s">
        <v>219</v>
      </c>
      <c r="G631" s="82">
        <v>210</v>
      </c>
      <c r="H631" s="85"/>
      <c r="I631" s="86">
        <v>10052.43</v>
      </c>
      <c r="J631" s="185">
        <f t="shared" si="84"/>
        <v>54.5</v>
      </c>
      <c r="K631" s="189">
        <f t="shared" si="85"/>
        <v>11445</v>
      </c>
      <c r="L631" s="189"/>
      <c r="M631" s="138"/>
      <c r="N631" s="138"/>
      <c r="O631" s="138"/>
      <c r="S631" s="72"/>
      <c r="T631" s="72"/>
      <c r="U631" s="72"/>
      <c r="V631" s="72"/>
    </row>
    <row r="632" spans="1:22" s="128" customFormat="1" ht="12.75" x14ac:dyDescent="0.25">
      <c r="A632" s="237"/>
      <c r="B632" s="125"/>
      <c r="C632" s="236"/>
      <c r="D632" s="77"/>
      <c r="E632" s="126" t="s">
        <v>3270</v>
      </c>
      <c r="F632" s="125"/>
      <c r="G632" s="76"/>
      <c r="H632" s="127"/>
      <c r="I632" s="78"/>
      <c r="J632" s="238"/>
      <c r="K632" s="239"/>
      <c r="L632" s="239"/>
      <c r="M632" s="79"/>
      <c r="N632" s="79"/>
      <c r="O632" s="79"/>
      <c r="S632" s="129"/>
      <c r="T632" s="129"/>
      <c r="U632" s="129"/>
      <c r="V632" s="129"/>
    </row>
    <row r="633" spans="1:22" s="63" customFormat="1" ht="22.5" x14ac:dyDescent="0.25">
      <c r="A633" s="87">
        <v>6.17</v>
      </c>
      <c r="B633" s="81" t="s">
        <v>46</v>
      </c>
      <c r="C633" s="82">
        <v>4</v>
      </c>
      <c r="D633" s="131" t="s">
        <v>652</v>
      </c>
      <c r="E633" s="83" t="s">
        <v>653</v>
      </c>
      <c r="F633" s="81" t="s">
        <v>354</v>
      </c>
      <c r="G633" s="80">
        <v>0.5</v>
      </c>
      <c r="H633" s="85"/>
      <c r="I633" s="86">
        <v>32757.24</v>
      </c>
      <c r="J633" s="185">
        <f t="shared" ref="J633:J648" si="86">ROUND($I633/$G633*$N$11,2)</f>
        <v>74594.789999999994</v>
      </c>
      <c r="K633" s="189">
        <f t="shared" ref="K633:K648" si="87">ROUND(G633*J633,2)</f>
        <v>37297.4</v>
      </c>
      <c r="L633" s="189"/>
      <c r="M633" s="138"/>
      <c r="N633" s="138"/>
      <c r="O633" s="138"/>
      <c r="S633" s="72"/>
      <c r="T633" s="72"/>
      <c r="U633" s="72"/>
      <c r="V633" s="72"/>
    </row>
    <row r="634" spans="1:22" s="63" customFormat="1" ht="22.5" x14ac:dyDescent="0.25">
      <c r="A634" s="87">
        <v>6.18</v>
      </c>
      <c r="B634" s="81" t="s">
        <v>46</v>
      </c>
      <c r="C634" s="80">
        <v>4.0999999999999996</v>
      </c>
      <c r="D634" s="131" t="s">
        <v>656</v>
      </c>
      <c r="E634" s="83" t="s">
        <v>657</v>
      </c>
      <c r="F634" s="81" t="s">
        <v>334</v>
      </c>
      <c r="G634" s="80">
        <v>49.9</v>
      </c>
      <c r="H634" s="85"/>
      <c r="I634" s="86">
        <v>19284.25</v>
      </c>
      <c r="J634" s="185">
        <f t="shared" si="86"/>
        <v>440.02</v>
      </c>
      <c r="K634" s="189">
        <f t="shared" si="87"/>
        <v>21957</v>
      </c>
      <c r="L634" s="189"/>
      <c r="M634" s="138"/>
      <c r="N634" s="138"/>
      <c r="O634" s="138"/>
      <c r="S634" s="72"/>
      <c r="T634" s="72"/>
      <c r="U634" s="72"/>
      <c r="V634" s="72"/>
    </row>
    <row r="635" spans="1:22" s="63" customFormat="1" ht="22.5" x14ac:dyDescent="0.25">
      <c r="A635" s="87">
        <v>6.19</v>
      </c>
      <c r="B635" s="81" t="s">
        <v>46</v>
      </c>
      <c r="C635" s="80">
        <v>4.2</v>
      </c>
      <c r="D635" s="131" t="s">
        <v>654</v>
      </c>
      <c r="E635" s="83" t="s">
        <v>655</v>
      </c>
      <c r="F635" s="81" t="s">
        <v>216</v>
      </c>
      <c r="G635" s="87">
        <v>0.06</v>
      </c>
      <c r="H635" s="85"/>
      <c r="I635" s="86">
        <v>75.12</v>
      </c>
      <c r="J635" s="185">
        <f t="shared" si="86"/>
        <v>1425.53</v>
      </c>
      <c r="K635" s="189">
        <f t="shared" si="87"/>
        <v>85.53</v>
      </c>
      <c r="L635" s="189"/>
      <c r="M635" s="138"/>
      <c r="N635" s="138"/>
      <c r="O635" s="138"/>
      <c r="S635" s="72"/>
      <c r="T635" s="72"/>
      <c r="U635" s="72"/>
      <c r="V635" s="72"/>
    </row>
    <row r="636" spans="1:22" s="63" customFormat="1" ht="22.5" x14ac:dyDescent="0.25">
      <c r="A636" s="87">
        <v>6.2</v>
      </c>
      <c r="B636" s="81" t="s">
        <v>46</v>
      </c>
      <c r="C636" s="80">
        <v>4.3</v>
      </c>
      <c r="D636" s="131" t="s">
        <v>664</v>
      </c>
      <c r="E636" s="83" t="s">
        <v>665</v>
      </c>
      <c r="F636" s="81" t="s">
        <v>219</v>
      </c>
      <c r="G636" s="82">
        <v>8</v>
      </c>
      <c r="H636" s="85"/>
      <c r="I636" s="86">
        <v>1078.3900000000001</v>
      </c>
      <c r="J636" s="185">
        <f t="shared" si="86"/>
        <v>153.47999999999999</v>
      </c>
      <c r="K636" s="189">
        <f t="shared" si="87"/>
        <v>1227.8399999999999</v>
      </c>
      <c r="L636" s="189"/>
      <c r="M636" s="138"/>
      <c r="N636" s="138"/>
      <c r="O636" s="138"/>
      <c r="S636" s="72"/>
      <c r="T636" s="72"/>
      <c r="U636" s="72"/>
      <c r="V636" s="72"/>
    </row>
    <row r="637" spans="1:22" s="63" customFormat="1" ht="22.5" x14ac:dyDescent="0.25">
      <c r="A637" s="87">
        <v>6.21</v>
      </c>
      <c r="B637" s="81" t="s">
        <v>46</v>
      </c>
      <c r="C637" s="80">
        <v>4.4000000000000004</v>
      </c>
      <c r="D637" s="131" t="s">
        <v>667</v>
      </c>
      <c r="E637" s="83" t="s">
        <v>668</v>
      </c>
      <c r="F637" s="81" t="s">
        <v>566</v>
      </c>
      <c r="G637" s="82">
        <v>1</v>
      </c>
      <c r="H637" s="85"/>
      <c r="I637" s="86">
        <v>4252.63</v>
      </c>
      <c r="J637" s="185">
        <f t="shared" si="86"/>
        <v>4842.04</v>
      </c>
      <c r="K637" s="189">
        <f t="shared" si="87"/>
        <v>4842.04</v>
      </c>
      <c r="L637" s="189"/>
      <c r="M637" s="138"/>
      <c r="N637" s="138"/>
      <c r="O637" s="138"/>
      <c r="S637" s="72"/>
      <c r="T637" s="72"/>
      <c r="U637" s="72"/>
      <c r="V637" s="72"/>
    </row>
    <row r="638" spans="1:22" s="63" customFormat="1" ht="22.5" x14ac:dyDescent="0.25">
      <c r="A638" s="87">
        <v>6.22</v>
      </c>
      <c r="B638" s="81" t="s">
        <v>46</v>
      </c>
      <c r="C638" s="82">
        <v>5</v>
      </c>
      <c r="D638" s="131" t="s">
        <v>671</v>
      </c>
      <c r="E638" s="83" t="s">
        <v>672</v>
      </c>
      <c r="F638" s="81" t="s">
        <v>566</v>
      </c>
      <c r="G638" s="80">
        <v>0.2</v>
      </c>
      <c r="H638" s="85"/>
      <c r="I638" s="86">
        <v>2361.38</v>
      </c>
      <c r="J638" s="185">
        <f t="shared" si="86"/>
        <v>13443.34</v>
      </c>
      <c r="K638" s="189">
        <f t="shared" si="87"/>
        <v>2688.67</v>
      </c>
      <c r="L638" s="189"/>
      <c r="M638" s="138"/>
      <c r="N638" s="138"/>
      <c r="O638" s="138"/>
      <c r="S638" s="72"/>
      <c r="T638" s="72"/>
      <c r="U638" s="72"/>
      <c r="V638" s="72"/>
    </row>
    <row r="639" spans="1:22" s="63" customFormat="1" ht="22.5" x14ac:dyDescent="0.25">
      <c r="A639" s="87">
        <v>6.23</v>
      </c>
      <c r="B639" s="81" t="s">
        <v>46</v>
      </c>
      <c r="C639" s="80">
        <v>5.0999999999999996</v>
      </c>
      <c r="D639" s="131" t="s">
        <v>673</v>
      </c>
      <c r="E639" s="83" t="s">
        <v>674</v>
      </c>
      <c r="F639" s="81" t="s">
        <v>219</v>
      </c>
      <c r="G639" s="82">
        <v>2</v>
      </c>
      <c r="H639" s="85"/>
      <c r="I639" s="86">
        <v>5178.6400000000003</v>
      </c>
      <c r="J639" s="185">
        <f t="shared" si="86"/>
        <v>2948.2</v>
      </c>
      <c r="K639" s="189">
        <f t="shared" si="87"/>
        <v>5896.4</v>
      </c>
      <c r="L639" s="189"/>
      <c r="M639" s="138"/>
      <c r="N639" s="138"/>
      <c r="O639" s="138"/>
      <c r="S639" s="72"/>
      <c r="T639" s="72"/>
      <c r="U639" s="72"/>
      <c r="V639" s="72"/>
    </row>
    <row r="640" spans="1:22" s="63" customFormat="1" ht="22.5" x14ac:dyDescent="0.25">
      <c r="A640" s="87">
        <v>6.24</v>
      </c>
      <c r="B640" s="81" t="s">
        <v>46</v>
      </c>
      <c r="C640" s="82">
        <v>6</v>
      </c>
      <c r="D640" s="131" t="s">
        <v>658</v>
      </c>
      <c r="E640" s="83" t="s">
        <v>659</v>
      </c>
      <c r="F640" s="81" t="s">
        <v>354</v>
      </c>
      <c r="G640" s="87">
        <v>0.57999999999999996</v>
      </c>
      <c r="H640" s="85"/>
      <c r="I640" s="86">
        <v>40127.39</v>
      </c>
      <c r="J640" s="185">
        <f t="shared" si="86"/>
        <v>78774.22</v>
      </c>
      <c r="K640" s="189">
        <f t="shared" si="87"/>
        <v>45689.05</v>
      </c>
      <c r="L640" s="189"/>
      <c r="M640" s="138"/>
      <c r="N640" s="138"/>
      <c r="O640" s="138"/>
      <c r="S640" s="72"/>
      <c r="T640" s="72"/>
      <c r="U640" s="72"/>
      <c r="V640" s="72"/>
    </row>
    <row r="641" spans="1:22" s="63" customFormat="1" ht="22.5" x14ac:dyDescent="0.25">
      <c r="A641" s="87">
        <v>6.25</v>
      </c>
      <c r="B641" s="81" t="s">
        <v>46</v>
      </c>
      <c r="C641" s="80">
        <v>6.1</v>
      </c>
      <c r="D641" s="131" t="s">
        <v>662</v>
      </c>
      <c r="E641" s="83" t="s">
        <v>663</v>
      </c>
      <c r="F641" s="81" t="s">
        <v>334</v>
      </c>
      <c r="G641" s="87">
        <v>57.88</v>
      </c>
      <c r="H641" s="85"/>
      <c r="I641" s="86">
        <v>5335.02</v>
      </c>
      <c r="J641" s="185">
        <f t="shared" si="86"/>
        <v>104.95</v>
      </c>
      <c r="K641" s="189">
        <f t="shared" si="87"/>
        <v>6074.51</v>
      </c>
      <c r="L641" s="189"/>
      <c r="M641" s="138"/>
      <c r="N641" s="138"/>
      <c r="O641" s="138"/>
      <c r="S641" s="72"/>
      <c r="T641" s="72"/>
      <c r="U641" s="72"/>
      <c r="V641" s="72"/>
    </row>
    <row r="642" spans="1:22" s="63" customFormat="1" ht="22.5" x14ac:dyDescent="0.25">
      <c r="A642" s="87">
        <v>6.26</v>
      </c>
      <c r="B642" s="81" t="s">
        <v>46</v>
      </c>
      <c r="C642" s="80">
        <v>6.2</v>
      </c>
      <c r="D642" s="131" t="s">
        <v>660</v>
      </c>
      <c r="E642" s="83" t="s">
        <v>661</v>
      </c>
      <c r="F642" s="81" t="s">
        <v>216</v>
      </c>
      <c r="G642" s="87">
        <v>7.0000000000000007E-2</v>
      </c>
      <c r="H642" s="85"/>
      <c r="I642" s="86">
        <v>46</v>
      </c>
      <c r="J642" s="185">
        <f t="shared" si="86"/>
        <v>748.22</v>
      </c>
      <c r="K642" s="189">
        <f t="shared" si="87"/>
        <v>52.38</v>
      </c>
      <c r="L642" s="189"/>
      <c r="M642" s="138"/>
      <c r="N642" s="138"/>
      <c r="O642" s="138"/>
      <c r="S642" s="72"/>
      <c r="T642" s="72"/>
      <c r="U642" s="72"/>
      <c r="V642" s="72"/>
    </row>
    <row r="643" spans="1:22" s="63" customFormat="1" ht="22.5" x14ac:dyDescent="0.25">
      <c r="A643" s="87">
        <v>6.27</v>
      </c>
      <c r="B643" s="81" t="s">
        <v>46</v>
      </c>
      <c r="C643" s="80">
        <v>6.3</v>
      </c>
      <c r="D643" s="131" t="s">
        <v>664</v>
      </c>
      <c r="E643" s="83" t="s">
        <v>666</v>
      </c>
      <c r="F643" s="81" t="s">
        <v>219</v>
      </c>
      <c r="G643" s="82">
        <v>8</v>
      </c>
      <c r="H643" s="85"/>
      <c r="I643" s="86">
        <v>1078.3900000000001</v>
      </c>
      <c r="J643" s="185">
        <f t="shared" si="86"/>
        <v>153.47999999999999</v>
      </c>
      <c r="K643" s="189">
        <f t="shared" si="87"/>
        <v>1227.8399999999999</v>
      </c>
      <c r="L643" s="189"/>
      <c r="M643" s="138"/>
      <c r="N643" s="138"/>
      <c r="O643" s="138"/>
      <c r="S643" s="72"/>
      <c r="T643" s="72"/>
      <c r="U643" s="72"/>
      <c r="V643" s="72"/>
    </row>
    <row r="644" spans="1:22" s="63" customFormat="1" ht="22.5" x14ac:dyDescent="0.25">
      <c r="A644" s="87">
        <v>6.28</v>
      </c>
      <c r="B644" s="81" t="s">
        <v>46</v>
      </c>
      <c r="C644" s="80">
        <v>6.4</v>
      </c>
      <c r="D644" s="131" t="s">
        <v>669</v>
      </c>
      <c r="E644" s="83" t="s">
        <v>670</v>
      </c>
      <c r="F644" s="81" t="s">
        <v>566</v>
      </c>
      <c r="G644" s="80">
        <v>0.5</v>
      </c>
      <c r="H644" s="85"/>
      <c r="I644" s="86">
        <v>200.24</v>
      </c>
      <c r="J644" s="185">
        <f t="shared" si="86"/>
        <v>455.99</v>
      </c>
      <c r="K644" s="189">
        <f t="shared" si="87"/>
        <v>228</v>
      </c>
      <c r="L644" s="189"/>
      <c r="M644" s="138"/>
      <c r="N644" s="138"/>
      <c r="O644" s="138"/>
      <c r="S644" s="72"/>
      <c r="T644" s="72"/>
      <c r="U644" s="72"/>
      <c r="V644" s="72"/>
    </row>
    <row r="645" spans="1:22" s="63" customFormat="1" ht="22.5" x14ac:dyDescent="0.25">
      <c r="A645" s="87">
        <v>6.29</v>
      </c>
      <c r="B645" s="81" t="s">
        <v>46</v>
      </c>
      <c r="C645" s="82">
        <v>7</v>
      </c>
      <c r="D645" s="131" t="s">
        <v>671</v>
      </c>
      <c r="E645" s="83" t="s">
        <v>672</v>
      </c>
      <c r="F645" s="81" t="s">
        <v>566</v>
      </c>
      <c r="G645" s="80">
        <v>1.1000000000000001</v>
      </c>
      <c r="H645" s="85"/>
      <c r="I645" s="86">
        <v>12985.15</v>
      </c>
      <c r="J645" s="185">
        <f t="shared" si="86"/>
        <v>13440.81</v>
      </c>
      <c r="K645" s="189">
        <f t="shared" si="87"/>
        <v>14784.89</v>
      </c>
      <c r="L645" s="189"/>
      <c r="M645" s="138"/>
      <c r="N645" s="138"/>
      <c r="O645" s="138"/>
      <c r="S645" s="72"/>
      <c r="T645" s="72"/>
      <c r="U645" s="72"/>
      <c r="V645" s="72"/>
    </row>
    <row r="646" spans="1:22" s="63" customFormat="1" ht="22.5" x14ac:dyDescent="0.25">
      <c r="A646" s="87">
        <v>6.3</v>
      </c>
      <c r="B646" s="81" t="s">
        <v>46</v>
      </c>
      <c r="C646" s="80">
        <v>7.1</v>
      </c>
      <c r="D646" s="131" t="s">
        <v>673</v>
      </c>
      <c r="E646" s="83" t="s">
        <v>674</v>
      </c>
      <c r="F646" s="81" t="s">
        <v>219</v>
      </c>
      <c r="G646" s="82">
        <v>11</v>
      </c>
      <c r="H646" s="85"/>
      <c r="I646" s="86">
        <v>28482.51</v>
      </c>
      <c r="J646" s="185">
        <f t="shared" si="86"/>
        <v>2948.2</v>
      </c>
      <c r="K646" s="189">
        <f t="shared" si="87"/>
        <v>32430.2</v>
      </c>
      <c r="L646" s="189"/>
      <c r="M646" s="138"/>
      <c r="N646" s="138"/>
      <c r="O646" s="138"/>
      <c r="S646" s="72"/>
      <c r="T646" s="72"/>
      <c r="U646" s="72"/>
      <c r="V646" s="72"/>
    </row>
    <row r="647" spans="1:22" s="63" customFormat="1" ht="22.5" x14ac:dyDescent="0.25">
      <c r="A647" s="87">
        <v>6.31</v>
      </c>
      <c r="B647" s="81" t="s">
        <v>46</v>
      </c>
      <c r="C647" s="80">
        <v>7.2</v>
      </c>
      <c r="D647" s="131" t="s">
        <v>679</v>
      </c>
      <c r="E647" s="83" t="s">
        <v>3483</v>
      </c>
      <c r="F647" s="81" t="s">
        <v>219</v>
      </c>
      <c r="G647" s="82">
        <v>38</v>
      </c>
      <c r="H647" s="85"/>
      <c r="I647" s="86">
        <v>994.2</v>
      </c>
      <c r="J647" s="185">
        <f t="shared" si="86"/>
        <v>29.79</v>
      </c>
      <c r="K647" s="189">
        <f t="shared" si="87"/>
        <v>1132.02</v>
      </c>
      <c r="L647" s="189"/>
      <c r="M647" s="138"/>
      <c r="N647" s="138"/>
      <c r="O647" s="138"/>
      <c r="S647" s="72"/>
      <c r="T647" s="72"/>
      <c r="U647" s="72"/>
      <c r="V647" s="72"/>
    </row>
    <row r="648" spans="1:22" s="63" customFormat="1" ht="22.5" x14ac:dyDescent="0.25">
      <c r="A648" s="87">
        <v>6.32</v>
      </c>
      <c r="B648" s="81" t="s">
        <v>46</v>
      </c>
      <c r="C648" s="80">
        <v>7.3</v>
      </c>
      <c r="D648" s="131" t="s">
        <v>680</v>
      </c>
      <c r="E648" s="83" t="s">
        <v>3484</v>
      </c>
      <c r="F648" s="81" t="s">
        <v>219</v>
      </c>
      <c r="G648" s="82">
        <v>33</v>
      </c>
      <c r="H648" s="85"/>
      <c r="I648" s="86">
        <v>1579.66</v>
      </c>
      <c r="J648" s="185">
        <f t="shared" si="86"/>
        <v>54.5</v>
      </c>
      <c r="K648" s="189">
        <f t="shared" si="87"/>
        <v>1798.5</v>
      </c>
      <c r="L648" s="189"/>
      <c r="M648" s="138"/>
      <c r="N648" s="138"/>
      <c r="O648" s="138"/>
      <c r="S648" s="72"/>
      <c r="T648" s="72"/>
      <c r="U648" s="72"/>
      <c r="V648" s="72"/>
    </row>
    <row r="649" spans="1:22" s="128" customFormat="1" ht="25.5" x14ac:dyDescent="0.25">
      <c r="A649" s="237"/>
      <c r="B649" s="125"/>
      <c r="C649" s="236"/>
      <c r="D649" s="77"/>
      <c r="E649" s="126" t="s">
        <v>3271</v>
      </c>
      <c r="F649" s="125"/>
      <c r="G649" s="76"/>
      <c r="H649" s="127"/>
      <c r="I649" s="78"/>
      <c r="J649" s="238"/>
      <c r="K649" s="239"/>
      <c r="L649" s="239"/>
      <c r="M649" s="79"/>
      <c r="N649" s="79"/>
      <c r="O649" s="79"/>
      <c r="S649" s="129"/>
      <c r="T649" s="129"/>
      <c r="U649" s="129"/>
      <c r="V649" s="129"/>
    </row>
    <row r="650" spans="1:22" s="63" customFormat="1" ht="22.5" x14ac:dyDescent="0.25">
      <c r="A650" s="87">
        <v>6.33</v>
      </c>
      <c r="B650" s="81" t="s">
        <v>46</v>
      </c>
      <c r="C650" s="82">
        <v>8</v>
      </c>
      <c r="D650" s="131" t="s">
        <v>652</v>
      </c>
      <c r="E650" s="83" t="s">
        <v>653</v>
      </c>
      <c r="F650" s="81" t="s">
        <v>354</v>
      </c>
      <c r="G650" s="87">
        <v>0.14000000000000001</v>
      </c>
      <c r="H650" s="85"/>
      <c r="I650" s="86">
        <v>9172.01</v>
      </c>
      <c r="J650" s="185">
        <f t="shared" ref="J650:J669" si="88">ROUND($I650/$G650*$N$11,2)</f>
        <v>74594.649999999994</v>
      </c>
      <c r="K650" s="189">
        <f t="shared" ref="K650:K669" si="89">ROUND(G650*J650,2)</f>
        <v>10443.25</v>
      </c>
      <c r="L650" s="189"/>
      <c r="M650" s="138"/>
      <c r="N650" s="138"/>
      <c r="O650" s="138"/>
      <c r="S650" s="72"/>
      <c r="T650" s="72"/>
      <c r="U650" s="72"/>
      <c r="V650" s="72"/>
    </row>
    <row r="651" spans="1:22" s="63" customFormat="1" ht="22.5" x14ac:dyDescent="0.25">
      <c r="A651" s="87">
        <v>6.34</v>
      </c>
      <c r="B651" s="81" t="s">
        <v>46</v>
      </c>
      <c r="C651" s="80">
        <v>8.1</v>
      </c>
      <c r="D651" s="131" t="s">
        <v>656</v>
      </c>
      <c r="E651" s="83" t="s">
        <v>657</v>
      </c>
      <c r="F651" s="81" t="s">
        <v>334</v>
      </c>
      <c r="G651" s="87">
        <v>13.97</v>
      </c>
      <c r="H651" s="85"/>
      <c r="I651" s="86">
        <v>5398.77</v>
      </c>
      <c r="J651" s="185">
        <f t="shared" si="88"/>
        <v>440.02</v>
      </c>
      <c r="K651" s="189">
        <f t="shared" si="89"/>
        <v>6147.08</v>
      </c>
      <c r="L651" s="189"/>
      <c r="M651" s="138"/>
      <c r="N651" s="138"/>
      <c r="O651" s="138"/>
      <c r="S651" s="72"/>
      <c r="T651" s="72"/>
      <c r="U651" s="72"/>
      <c r="V651" s="72"/>
    </row>
    <row r="652" spans="1:22" s="63" customFormat="1" ht="22.5" x14ac:dyDescent="0.25">
      <c r="A652" s="87">
        <v>6.35</v>
      </c>
      <c r="B652" s="81" t="s">
        <v>46</v>
      </c>
      <c r="C652" s="80">
        <v>8.1999999999999993</v>
      </c>
      <c r="D652" s="131" t="s">
        <v>654</v>
      </c>
      <c r="E652" s="83" t="s">
        <v>655</v>
      </c>
      <c r="F652" s="81" t="s">
        <v>216</v>
      </c>
      <c r="G652" s="87">
        <v>0.02</v>
      </c>
      <c r="H652" s="85"/>
      <c r="I652" s="86">
        <v>25.04</v>
      </c>
      <c r="J652" s="185">
        <f t="shared" si="88"/>
        <v>1425.53</v>
      </c>
      <c r="K652" s="189">
        <f t="shared" si="89"/>
        <v>28.51</v>
      </c>
      <c r="L652" s="189"/>
      <c r="M652" s="138"/>
      <c r="N652" s="138"/>
      <c r="O652" s="138"/>
      <c r="S652" s="72"/>
      <c r="T652" s="72"/>
      <c r="U652" s="72"/>
      <c r="V652" s="72"/>
    </row>
    <row r="653" spans="1:22" s="63" customFormat="1" ht="22.5" x14ac:dyDescent="0.25">
      <c r="A653" s="87">
        <v>6.36</v>
      </c>
      <c r="B653" s="81" t="s">
        <v>46</v>
      </c>
      <c r="C653" s="80">
        <v>8.3000000000000007</v>
      </c>
      <c r="D653" s="131" t="s">
        <v>664</v>
      </c>
      <c r="E653" s="83" t="s">
        <v>665</v>
      </c>
      <c r="F653" s="81" t="s">
        <v>219</v>
      </c>
      <c r="G653" s="82">
        <v>2</v>
      </c>
      <c r="H653" s="85"/>
      <c r="I653" s="86">
        <v>269.60000000000002</v>
      </c>
      <c r="J653" s="185">
        <f t="shared" si="88"/>
        <v>153.47999999999999</v>
      </c>
      <c r="K653" s="189">
        <f t="shared" si="89"/>
        <v>306.95999999999998</v>
      </c>
      <c r="L653" s="189"/>
      <c r="M653" s="138"/>
      <c r="N653" s="138"/>
      <c r="O653" s="138"/>
      <c r="S653" s="72"/>
      <c r="T653" s="72"/>
      <c r="U653" s="72"/>
      <c r="V653" s="72"/>
    </row>
    <row r="654" spans="1:22" s="63" customFormat="1" ht="22.5" x14ac:dyDescent="0.25">
      <c r="A654" s="87">
        <v>6.37</v>
      </c>
      <c r="B654" s="81" t="s">
        <v>46</v>
      </c>
      <c r="C654" s="80">
        <v>8.4</v>
      </c>
      <c r="D654" s="131" t="s">
        <v>667</v>
      </c>
      <c r="E654" s="83" t="s">
        <v>668</v>
      </c>
      <c r="F654" s="81" t="s">
        <v>566</v>
      </c>
      <c r="G654" s="80">
        <v>0.5</v>
      </c>
      <c r="H654" s="85"/>
      <c r="I654" s="86">
        <v>2126.3200000000002</v>
      </c>
      <c r="J654" s="185">
        <f t="shared" si="88"/>
        <v>4842.0600000000004</v>
      </c>
      <c r="K654" s="189">
        <f t="shared" si="89"/>
        <v>2421.0300000000002</v>
      </c>
      <c r="L654" s="189"/>
      <c r="M654" s="138"/>
      <c r="N654" s="138"/>
      <c r="O654" s="138"/>
      <c r="S654" s="72"/>
      <c r="T654" s="72"/>
      <c r="U654" s="72"/>
      <c r="V654" s="72"/>
    </row>
    <row r="655" spans="1:22" s="63" customFormat="1" ht="22.5" x14ac:dyDescent="0.25">
      <c r="A655" s="87">
        <v>6.38</v>
      </c>
      <c r="B655" s="81" t="s">
        <v>46</v>
      </c>
      <c r="C655" s="82">
        <v>9</v>
      </c>
      <c r="D655" s="131" t="s">
        <v>671</v>
      </c>
      <c r="E655" s="83" t="s">
        <v>672</v>
      </c>
      <c r="F655" s="81" t="s">
        <v>566</v>
      </c>
      <c r="G655" s="80">
        <v>0.2</v>
      </c>
      <c r="H655" s="85"/>
      <c r="I655" s="86">
        <v>2361.38</v>
      </c>
      <c r="J655" s="185">
        <f t="shared" si="88"/>
        <v>13443.34</v>
      </c>
      <c r="K655" s="189">
        <f t="shared" si="89"/>
        <v>2688.67</v>
      </c>
      <c r="L655" s="189"/>
      <c r="M655" s="138"/>
      <c r="N655" s="138"/>
      <c r="O655" s="138"/>
      <c r="S655" s="72"/>
      <c r="T655" s="72"/>
      <c r="U655" s="72"/>
      <c r="V655" s="72"/>
    </row>
    <row r="656" spans="1:22" s="63" customFormat="1" ht="22.5" x14ac:dyDescent="0.25">
      <c r="A656" s="87">
        <v>6.39</v>
      </c>
      <c r="B656" s="81" t="s">
        <v>46</v>
      </c>
      <c r="C656" s="80">
        <v>9.1</v>
      </c>
      <c r="D656" s="131" t="s">
        <v>673</v>
      </c>
      <c r="E656" s="83" t="s">
        <v>674</v>
      </c>
      <c r="F656" s="81" t="s">
        <v>219</v>
      </c>
      <c r="G656" s="82">
        <v>2</v>
      </c>
      <c r="H656" s="85"/>
      <c r="I656" s="86">
        <v>5178.6400000000003</v>
      </c>
      <c r="J656" s="185">
        <f t="shared" si="88"/>
        <v>2948.2</v>
      </c>
      <c r="K656" s="189">
        <f t="shared" si="89"/>
        <v>5896.4</v>
      </c>
      <c r="L656" s="189"/>
      <c r="M656" s="138"/>
      <c r="N656" s="138"/>
      <c r="O656" s="138"/>
      <c r="S656" s="72"/>
      <c r="T656" s="72"/>
      <c r="U656" s="72"/>
      <c r="V656" s="72"/>
    </row>
    <row r="657" spans="1:22" s="63" customFormat="1" ht="22.5" x14ac:dyDescent="0.25">
      <c r="A657" s="87">
        <v>6.4</v>
      </c>
      <c r="B657" s="81" t="s">
        <v>46</v>
      </c>
      <c r="C657" s="82">
        <v>10</v>
      </c>
      <c r="D657" s="131" t="s">
        <v>658</v>
      </c>
      <c r="E657" s="83" t="s">
        <v>659</v>
      </c>
      <c r="F657" s="81" t="s">
        <v>354</v>
      </c>
      <c r="G657" s="87">
        <v>0.33</v>
      </c>
      <c r="H657" s="85"/>
      <c r="I657" s="86">
        <v>22831.66</v>
      </c>
      <c r="J657" s="185">
        <f t="shared" si="88"/>
        <v>78776.149999999994</v>
      </c>
      <c r="K657" s="189">
        <f t="shared" si="89"/>
        <v>25996.13</v>
      </c>
      <c r="L657" s="189"/>
      <c r="M657" s="138"/>
      <c r="N657" s="138"/>
      <c r="O657" s="138"/>
      <c r="S657" s="72"/>
      <c r="T657" s="72"/>
      <c r="U657" s="72"/>
      <c r="V657" s="72"/>
    </row>
    <row r="658" spans="1:22" s="63" customFormat="1" ht="22.5" x14ac:dyDescent="0.25">
      <c r="A658" s="87">
        <v>6.41</v>
      </c>
      <c r="B658" s="81" t="s">
        <v>46</v>
      </c>
      <c r="C658" s="80">
        <v>10.1</v>
      </c>
      <c r="D658" s="131" t="s">
        <v>662</v>
      </c>
      <c r="E658" s="83" t="s">
        <v>663</v>
      </c>
      <c r="F658" s="81" t="s">
        <v>334</v>
      </c>
      <c r="G658" s="87">
        <v>32.93</v>
      </c>
      <c r="H658" s="85"/>
      <c r="I658" s="86">
        <v>3035.27</v>
      </c>
      <c r="J658" s="185">
        <f t="shared" si="88"/>
        <v>104.95</v>
      </c>
      <c r="K658" s="189">
        <f t="shared" si="89"/>
        <v>3456</v>
      </c>
      <c r="L658" s="189"/>
      <c r="M658" s="138"/>
      <c r="N658" s="138"/>
      <c r="O658" s="138"/>
      <c r="S658" s="72"/>
      <c r="T658" s="72"/>
      <c r="U658" s="72"/>
      <c r="V658" s="72"/>
    </row>
    <row r="659" spans="1:22" s="63" customFormat="1" ht="22.5" x14ac:dyDescent="0.25">
      <c r="A659" s="87">
        <v>6.42</v>
      </c>
      <c r="B659" s="81" t="s">
        <v>46</v>
      </c>
      <c r="C659" s="80">
        <v>10.199999999999999</v>
      </c>
      <c r="D659" s="131" t="s">
        <v>660</v>
      </c>
      <c r="E659" s="83" t="s">
        <v>661</v>
      </c>
      <c r="F659" s="81" t="s">
        <v>216</v>
      </c>
      <c r="G659" s="87">
        <v>0.04</v>
      </c>
      <c r="H659" s="85"/>
      <c r="I659" s="86">
        <v>26.28</v>
      </c>
      <c r="J659" s="185">
        <f t="shared" si="88"/>
        <v>748.06</v>
      </c>
      <c r="K659" s="189">
        <f t="shared" si="89"/>
        <v>29.92</v>
      </c>
      <c r="L659" s="189"/>
      <c r="M659" s="138"/>
      <c r="N659" s="138"/>
      <c r="O659" s="138"/>
      <c r="S659" s="72"/>
      <c r="T659" s="72"/>
      <c r="U659" s="72"/>
      <c r="V659" s="72"/>
    </row>
    <row r="660" spans="1:22" s="63" customFormat="1" ht="22.5" x14ac:dyDescent="0.25">
      <c r="A660" s="87">
        <v>6.43</v>
      </c>
      <c r="B660" s="81" t="s">
        <v>46</v>
      </c>
      <c r="C660" s="80">
        <v>10.3</v>
      </c>
      <c r="D660" s="131" t="s">
        <v>664</v>
      </c>
      <c r="E660" s="83" t="s">
        <v>666</v>
      </c>
      <c r="F660" s="81" t="s">
        <v>219</v>
      </c>
      <c r="G660" s="82">
        <v>8</v>
      </c>
      <c r="H660" s="85"/>
      <c r="I660" s="86">
        <v>1078.3900000000001</v>
      </c>
      <c r="J660" s="185">
        <f t="shared" si="88"/>
        <v>153.47999999999999</v>
      </c>
      <c r="K660" s="189">
        <f t="shared" si="89"/>
        <v>1227.8399999999999</v>
      </c>
      <c r="L660" s="189"/>
      <c r="M660" s="138"/>
      <c r="N660" s="138"/>
      <c r="O660" s="138"/>
      <c r="S660" s="72"/>
      <c r="T660" s="72"/>
      <c r="U660" s="72"/>
      <c r="V660" s="72"/>
    </row>
    <row r="661" spans="1:22" s="63" customFormat="1" ht="22.5" x14ac:dyDescent="0.25">
      <c r="A661" s="87">
        <v>6.44</v>
      </c>
      <c r="B661" s="81" t="s">
        <v>46</v>
      </c>
      <c r="C661" s="80">
        <v>10.4</v>
      </c>
      <c r="D661" s="131" t="s">
        <v>669</v>
      </c>
      <c r="E661" s="83" t="s">
        <v>670</v>
      </c>
      <c r="F661" s="81" t="s">
        <v>566</v>
      </c>
      <c r="G661" s="80">
        <v>0.3</v>
      </c>
      <c r="H661" s="85"/>
      <c r="I661" s="86">
        <v>120.15</v>
      </c>
      <c r="J661" s="185">
        <f t="shared" si="88"/>
        <v>456.01</v>
      </c>
      <c r="K661" s="189">
        <f t="shared" si="89"/>
        <v>136.80000000000001</v>
      </c>
      <c r="L661" s="189"/>
      <c r="M661" s="138"/>
      <c r="N661" s="138"/>
      <c r="O661" s="138"/>
      <c r="S661" s="72"/>
      <c r="T661" s="72"/>
      <c r="U661" s="72"/>
      <c r="V661" s="72"/>
    </row>
    <row r="662" spans="1:22" s="63" customFormat="1" ht="22.5" x14ac:dyDescent="0.25">
      <c r="A662" s="87">
        <v>6.45</v>
      </c>
      <c r="B662" s="81" t="s">
        <v>46</v>
      </c>
      <c r="C662" s="82">
        <v>11</v>
      </c>
      <c r="D662" s="131" t="s">
        <v>671</v>
      </c>
      <c r="E662" s="83" t="s">
        <v>672</v>
      </c>
      <c r="F662" s="81" t="s">
        <v>566</v>
      </c>
      <c r="G662" s="80">
        <v>0.2</v>
      </c>
      <c r="H662" s="85"/>
      <c r="I662" s="86">
        <v>2361.38</v>
      </c>
      <c r="J662" s="185">
        <f t="shared" si="88"/>
        <v>13443.34</v>
      </c>
      <c r="K662" s="189">
        <f t="shared" si="89"/>
        <v>2688.67</v>
      </c>
      <c r="L662" s="189"/>
      <c r="M662" s="138"/>
      <c r="N662" s="138"/>
      <c r="O662" s="138"/>
      <c r="S662" s="72"/>
      <c r="T662" s="72"/>
      <c r="U662" s="72"/>
      <c r="V662" s="72"/>
    </row>
    <row r="663" spans="1:22" s="63" customFormat="1" ht="22.5" x14ac:dyDescent="0.25">
      <c r="A663" s="87">
        <v>6.46</v>
      </c>
      <c r="B663" s="81" t="s">
        <v>46</v>
      </c>
      <c r="C663" s="80">
        <v>11.1</v>
      </c>
      <c r="D663" s="131" t="s">
        <v>673</v>
      </c>
      <c r="E663" s="83" t="s">
        <v>674</v>
      </c>
      <c r="F663" s="81" t="s">
        <v>219</v>
      </c>
      <c r="G663" s="82">
        <v>2</v>
      </c>
      <c r="H663" s="85"/>
      <c r="I663" s="86">
        <v>5178.6400000000003</v>
      </c>
      <c r="J663" s="185">
        <f t="shared" si="88"/>
        <v>2948.2</v>
      </c>
      <c r="K663" s="189">
        <f t="shared" si="89"/>
        <v>5896.4</v>
      </c>
      <c r="L663" s="189"/>
      <c r="M663" s="138"/>
      <c r="N663" s="138"/>
      <c r="O663" s="138"/>
      <c r="S663" s="72"/>
      <c r="T663" s="72"/>
      <c r="U663" s="72"/>
      <c r="V663" s="72"/>
    </row>
    <row r="664" spans="1:22" s="63" customFormat="1" ht="22.5" x14ac:dyDescent="0.25">
      <c r="A664" s="87">
        <v>6.47</v>
      </c>
      <c r="B664" s="81" t="s">
        <v>46</v>
      </c>
      <c r="C664" s="82">
        <v>12</v>
      </c>
      <c r="D664" s="131" t="s">
        <v>681</v>
      </c>
      <c r="E664" s="83" t="s">
        <v>682</v>
      </c>
      <c r="F664" s="81" t="s">
        <v>219</v>
      </c>
      <c r="G664" s="82">
        <v>9</v>
      </c>
      <c r="H664" s="85"/>
      <c r="I664" s="86">
        <v>5280.57</v>
      </c>
      <c r="J664" s="185">
        <f t="shared" si="88"/>
        <v>668.05</v>
      </c>
      <c r="K664" s="189">
        <f t="shared" si="89"/>
        <v>6012.45</v>
      </c>
      <c r="L664" s="189"/>
      <c r="M664" s="138"/>
      <c r="N664" s="138"/>
      <c r="O664" s="138"/>
      <c r="S664" s="72"/>
      <c r="T664" s="72"/>
      <c r="U664" s="72"/>
      <c r="V664" s="72"/>
    </row>
    <row r="665" spans="1:22" s="63" customFormat="1" ht="22.5" x14ac:dyDescent="0.25">
      <c r="A665" s="87">
        <v>6.48</v>
      </c>
      <c r="B665" s="81" t="s">
        <v>46</v>
      </c>
      <c r="C665" s="80">
        <v>12.1</v>
      </c>
      <c r="D665" s="131" t="s">
        <v>683</v>
      </c>
      <c r="E665" s="83" t="s">
        <v>684</v>
      </c>
      <c r="F665" s="81" t="s">
        <v>219</v>
      </c>
      <c r="G665" s="82">
        <v>9</v>
      </c>
      <c r="H665" s="85"/>
      <c r="I665" s="86">
        <v>3628.37</v>
      </c>
      <c r="J665" s="185">
        <f t="shared" si="88"/>
        <v>459.03</v>
      </c>
      <c r="K665" s="189">
        <f t="shared" si="89"/>
        <v>4131.2700000000004</v>
      </c>
      <c r="L665" s="189"/>
      <c r="M665" s="138"/>
      <c r="N665" s="138"/>
      <c r="O665" s="138"/>
      <c r="S665" s="72"/>
      <c r="T665" s="72"/>
      <c r="U665" s="72"/>
      <c r="V665" s="72"/>
    </row>
    <row r="666" spans="1:22" s="63" customFormat="1" ht="15" x14ac:dyDescent="0.25">
      <c r="A666" s="87">
        <v>6.49</v>
      </c>
      <c r="B666" s="81" t="s">
        <v>46</v>
      </c>
      <c r="C666" s="82">
        <v>13</v>
      </c>
      <c r="D666" s="131" t="s">
        <v>685</v>
      </c>
      <c r="E666" s="83" t="s">
        <v>686</v>
      </c>
      <c r="F666" s="81" t="s">
        <v>687</v>
      </c>
      <c r="G666" s="80">
        <v>0.1</v>
      </c>
      <c r="H666" s="85"/>
      <c r="I666" s="86">
        <v>641.96</v>
      </c>
      <c r="J666" s="185">
        <f t="shared" si="88"/>
        <v>7309.36</v>
      </c>
      <c r="K666" s="189">
        <f t="shared" si="89"/>
        <v>730.94</v>
      </c>
      <c r="L666" s="189"/>
      <c r="M666" s="138"/>
      <c r="N666" s="138"/>
      <c r="O666" s="138"/>
      <c r="S666" s="72"/>
      <c r="T666" s="72"/>
      <c r="U666" s="72"/>
      <c r="V666" s="72"/>
    </row>
    <row r="667" spans="1:22" s="63" customFormat="1" ht="22.5" x14ac:dyDescent="0.25">
      <c r="A667" s="87">
        <v>6.5</v>
      </c>
      <c r="B667" s="81" t="s">
        <v>46</v>
      </c>
      <c r="C667" s="80">
        <v>13.1</v>
      </c>
      <c r="D667" s="131" t="s">
        <v>688</v>
      </c>
      <c r="E667" s="83" t="s">
        <v>3485</v>
      </c>
      <c r="F667" s="81" t="s">
        <v>219</v>
      </c>
      <c r="G667" s="82">
        <v>1</v>
      </c>
      <c r="H667" s="85"/>
      <c r="I667" s="86">
        <v>1899.79</v>
      </c>
      <c r="J667" s="185">
        <f t="shared" si="88"/>
        <v>2163.1</v>
      </c>
      <c r="K667" s="189">
        <f t="shared" si="89"/>
        <v>2163.1</v>
      </c>
      <c r="L667" s="189"/>
      <c r="M667" s="138"/>
      <c r="N667" s="138"/>
      <c r="O667" s="138"/>
      <c r="S667" s="72"/>
      <c r="T667" s="72"/>
      <c r="U667" s="72"/>
      <c r="V667" s="72"/>
    </row>
    <row r="668" spans="1:22" s="63" customFormat="1" ht="22.5" x14ac:dyDescent="0.25">
      <c r="A668" s="87">
        <v>6.51</v>
      </c>
      <c r="B668" s="81" t="s">
        <v>46</v>
      </c>
      <c r="C668" s="80">
        <v>13.2</v>
      </c>
      <c r="D668" s="131" t="s">
        <v>679</v>
      </c>
      <c r="E668" s="83" t="s">
        <v>3483</v>
      </c>
      <c r="F668" s="81" t="s">
        <v>219</v>
      </c>
      <c r="G668" s="82">
        <v>22</v>
      </c>
      <c r="H668" s="85"/>
      <c r="I668" s="86">
        <v>575.6</v>
      </c>
      <c r="J668" s="185">
        <f t="shared" si="88"/>
        <v>29.79</v>
      </c>
      <c r="K668" s="189">
        <f t="shared" si="89"/>
        <v>655.38</v>
      </c>
      <c r="L668" s="189"/>
      <c r="M668" s="138"/>
      <c r="N668" s="138"/>
      <c r="O668" s="138"/>
      <c r="S668" s="72"/>
      <c r="T668" s="72"/>
      <c r="U668" s="72"/>
      <c r="V668" s="72"/>
    </row>
    <row r="669" spans="1:22" s="63" customFormat="1" ht="22.5" x14ac:dyDescent="0.25">
      <c r="A669" s="87">
        <v>6.52</v>
      </c>
      <c r="B669" s="81" t="s">
        <v>46</v>
      </c>
      <c r="C669" s="80">
        <v>13.3</v>
      </c>
      <c r="D669" s="131" t="s">
        <v>680</v>
      </c>
      <c r="E669" s="83" t="s">
        <v>3484</v>
      </c>
      <c r="F669" s="81" t="s">
        <v>219</v>
      </c>
      <c r="G669" s="82">
        <v>9</v>
      </c>
      <c r="H669" s="85"/>
      <c r="I669" s="86">
        <v>430.86</v>
      </c>
      <c r="J669" s="185">
        <f t="shared" si="88"/>
        <v>54.51</v>
      </c>
      <c r="K669" s="189">
        <f t="shared" si="89"/>
        <v>490.59</v>
      </c>
      <c r="L669" s="189"/>
      <c r="M669" s="138"/>
      <c r="N669" s="138"/>
      <c r="O669" s="138"/>
      <c r="S669" s="72"/>
      <c r="T669" s="72"/>
      <c r="U669" s="72"/>
      <c r="V669" s="72"/>
    </row>
    <row r="670" spans="1:22" s="128" customFormat="1" ht="12.75" x14ac:dyDescent="0.25">
      <c r="A670" s="237"/>
      <c r="B670" s="125"/>
      <c r="C670" s="236"/>
      <c r="D670" s="77"/>
      <c r="E670" s="126" t="s">
        <v>3272</v>
      </c>
      <c r="F670" s="125"/>
      <c r="G670" s="76"/>
      <c r="H670" s="127"/>
      <c r="I670" s="78"/>
      <c r="J670" s="238"/>
      <c r="K670" s="239"/>
      <c r="L670" s="239"/>
      <c r="M670" s="79"/>
      <c r="N670" s="79"/>
      <c r="O670" s="79"/>
      <c r="S670" s="129"/>
      <c r="T670" s="129"/>
      <c r="U670" s="129"/>
      <c r="V670" s="129"/>
    </row>
    <row r="671" spans="1:22" s="63" customFormat="1" ht="22.5" x14ac:dyDescent="0.25">
      <c r="A671" s="87">
        <v>6.53</v>
      </c>
      <c r="B671" s="81" t="s">
        <v>46</v>
      </c>
      <c r="C671" s="82">
        <v>14</v>
      </c>
      <c r="D671" s="131" t="s">
        <v>652</v>
      </c>
      <c r="E671" s="83" t="s">
        <v>653</v>
      </c>
      <c r="F671" s="81" t="s">
        <v>354</v>
      </c>
      <c r="G671" s="87">
        <v>0.35</v>
      </c>
      <c r="H671" s="85"/>
      <c r="I671" s="86">
        <v>22929.919999999998</v>
      </c>
      <c r="J671" s="185">
        <f t="shared" ref="J671:J682" si="90">ROUND($I671/$G671*$N$11,2)</f>
        <v>74594.31</v>
      </c>
      <c r="K671" s="189">
        <f t="shared" ref="K671:K682" si="91">ROUND(G671*J671,2)</f>
        <v>26108.01</v>
      </c>
      <c r="L671" s="189"/>
      <c r="M671" s="138"/>
      <c r="N671" s="138"/>
      <c r="O671" s="138"/>
      <c r="S671" s="72"/>
      <c r="T671" s="72"/>
      <c r="U671" s="72"/>
      <c r="V671" s="72"/>
    </row>
    <row r="672" spans="1:22" s="63" customFormat="1" ht="22.5" x14ac:dyDescent="0.25">
      <c r="A672" s="87">
        <v>6.54</v>
      </c>
      <c r="B672" s="81" t="s">
        <v>46</v>
      </c>
      <c r="C672" s="80">
        <v>14.1</v>
      </c>
      <c r="D672" s="131" t="s">
        <v>656</v>
      </c>
      <c r="E672" s="83" t="s">
        <v>657</v>
      </c>
      <c r="F672" s="81" t="s">
        <v>334</v>
      </c>
      <c r="G672" s="87">
        <v>34.93</v>
      </c>
      <c r="H672" s="85"/>
      <c r="I672" s="86">
        <v>13498.93</v>
      </c>
      <c r="J672" s="185">
        <f t="shared" si="90"/>
        <v>440.02</v>
      </c>
      <c r="K672" s="189">
        <f t="shared" si="91"/>
        <v>15369.9</v>
      </c>
      <c r="L672" s="189"/>
      <c r="M672" s="138"/>
      <c r="N672" s="138"/>
      <c r="O672" s="138"/>
      <c r="S672" s="72"/>
      <c r="T672" s="72"/>
      <c r="U672" s="72"/>
      <c r="V672" s="72"/>
    </row>
    <row r="673" spans="1:22" s="63" customFormat="1" ht="22.5" x14ac:dyDescent="0.25">
      <c r="A673" s="87">
        <v>6.55</v>
      </c>
      <c r="B673" s="81" t="s">
        <v>46</v>
      </c>
      <c r="C673" s="80">
        <v>14.2</v>
      </c>
      <c r="D673" s="131" t="s">
        <v>654</v>
      </c>
      <c r="E673" s="83" t="s">
        <v>655</v>
      </c>
      <c r="F673" s="81" t="s">
        <v>216</v>
      </c>
      <c r="G673" s="87">
        <v>0.05</v>
      </c>
      <c r="H673" s="85"/>
      <c r="I673" s="86">
        <v>62.6</v>
      </c>
      <c r="J673" s="185">
        <f t="shared" si="90"/>
        <v>1425.53</v>
      </c>
      <c r="K673" s="189">
        <f t="shared" si="91"/>
        <v>71.28</v>
      </c>
      <c r="L673" s="189"/>
      <c r="M673" s="138"/>
      <c r="N673" s="138"/>
      <c r="O673" s="138"/>
      <c r="S673" s="72"/>
      <c r="T673" s="72"/>
      <c r="U673" s="72"/>
      <c r="V673" s="72"/>
    </row>
    <row r="674" spans="1:22" s="63" customFormat="1" ht="22.5" x14ac:dyDescent="0.25">
      <c r="A674" s="87">
        <v>6.56</v>
      </c>
      <c r="B674" s="81" t="s">
        <v>46</v>
      </c>
      <c r="C674" s="80">
        <v>14.3</v>
      </c>
      <c r="D674" s="131" t="s">
        <v>664</v>
      </c>
      <c r="E674" s="83" t="s">
        <v>665</v>
      </c>
      <c r="F674" s="81" t="s">
        <v>219</v>
      </c>
      <c r="G674" s="82">
        <v>5</v>
      </c>
      <c r="H674" s="85"/>
      <c r="I674" s="86">
        <v>673.99</v>
      </c>
      <c r="J674" s="185">
        <f t="shared" si="90"/>
        <v>153.47999999999999</v>
      </c>
      <c r="K674" s="189">
        <f t="shared" si="91"/>
        <v>767.4</v>
      </c>
      <c r="L674" s="189"/>
      <c r="M674" s="138"/>
      <c r="N674" s="138"/>
      <c r="O674" s="138"/>
      <c r="S674" s="72"/>
      <c r="T674" s="72"/>
      <c r="U674" s="72"/>
      <c r="V674" s="72"/>
    </row>
    <row r="675" spans="1:22" s="63" customFormat="1" ht="22.5" x14ac:dyDescent="0.25">
      <c r="A675" s="87">
        <v>6.57</v>
      </c>
      <c r="B675" s="81" t="s">
        <v>46</v>
      </c>
      <c r="C675" s="80">
        <v>14.4</v>
      </c>
      <c r="D675" s="131" t="s">
        <v>667</v>
      </c>
      <c r="E675" s="83" t="s">
        <v>668</v>
      </c>
      <c r="F675" s="81" t="s">
        <v>566</v>
      </c>
      <c r="G675" s="82">
        <v>1</v>
      </c>
      <c r="H675" s="85"/>
      <c r="I675" s="86">
        <v>4252.63</v>
      </c>
      <c r="J675" s="185">
        <f t="shared" si="90"/>
        <v>4842.04</v>
      </c>
      <c r="K675" s="189">
        <f t="shared" si="91"/>
        <v>4842.04</v>
      </c>
      <c r="L675" s="189"/>
      <c r="M675" s="138"/>
      <c r="N675" s="138"/>
      <c r="O675" s="138"/>
      <c r="S675" s="72"/>
      <c r="T675" s="72"/>
      <c r="U675" s="72"/>
      <c r="V675" s="72"/>
    </row>
    <row r="676" spans="1:22" s="63" customFormat="1" ht="22.5" x14ac:dyDescent="0.25">
      <c r="A676" s="87">
        <v>6.58</v>
      </c>
      <c r="B676" s="81" t="s">
        <v>46</v>
      </c>
      <c r="C676" s="82">
        <v>15</v>
      </c>
      <c r="D676" s="131" t="s">
        <v>658</v>
      </c>
      <c r="E676" s="83" t="s">
        <v>659</v>
      </c>
      <c r="F676" s="81" t="s">
        <v>354</v>
      </c>
      <c r="G676" s="80">
        <v>0.3</v>
      </c>
      <c r="H676" s="85"/>
      <c r="I676" s="86">
        <v>20756.23</v>
      </c>
      <c r="J676" s="185">
        <f t="shared" si="90"/>
        <v>78776.81</v>
      </c>
      <c r="K676" s="189">
        <f t="shared" si="91"/>
        <v>23633.040000000001</v>
      </c>
      <c r="L676" s="189"/>
      <c r="M676" s="138"/>
      <c r="N676" s="138"/>
      <c r="O676" s="138"/>
      <c r="S676" s="72"/>
      <c r="T676" s="72"/>
      <c r="U676" s="72"/>
      <c r="V676" s="72"/>
    </row>
    <row r="677" spans="1:22" s="63" customFormat="1" ht="22.5" x14ac:dyDescent="0.25">
      <c r="A677" s="87">
        <v>6.59</v>
      </c>
      <c r="B677" s="81" t="s">
        <v>46</v>
      </c>
      <c r="C677" s="80">
        <v>15.1</v>
      </c>
      <c r="D677" s="131" t="s">
        <v>662</v>
      </c>
      <c r="E677" s="83" t="s">
        <v>663</v>
      </c>
      <c r="F677" s="81" t="s">
        <v>334</v>
      </c>
      <c r="G677" s="87">
        <v>29.94</v>
      </c>
      <c r="H677" s="85"/>
      <c r="I677" s="86">
        <v>2759.73</v>
      </c>
      <c r="J677" s="185">
        <f t="shared" si="90"/>
        <v>104.95</v>
      </c>
      <c r="K677" s="189">
        <f t="shared" si="91"/>
        <v>3142.2</v>
      </c>
      <c r="L677" s="189"/>
      <c r="M677" s="138"/>
      <c r="N677" s="138"/>
      <c r="O677" s="138"/>
      <c r="S677" s="72"/>
      <c r="T677" s="72"/>
      <c r="U677" s="72"/>
      <c r="V677" s="72"/>
    </row>
    <row r="678" spans="1:22" s="63" customFormat="1" ht="22.5" x14ac:dyDescent="0.25">
      <c r="A678" s="87">
        <v>6.6</v>
      </c>
      <c r="B678" s="81" t="s">
        <v>46</v>
      </c>
      <c r="C678" s="80">
        <v>15.2</v>
      </c>
      <c r="D678" s="131" t="s">
        <v>660</v>
      </c>
      <c r="E678" s="83" t="s">
        <v>661</v>
      </c>
      <c r="F678" s="81" t="s">
        <v>216</v>
      </c>
      <c r="G678" s="87">
        <v>0.04</v>
      </c>
      <c r="H678" s="85"/>
      <c r="I678" s="86">
        <v>26.28</v>
      </c>
      <c r="J678" s="185">
        <f t="shared" si="90"/>
        <v>748.06</v>
      </c>
      <c r="K678" s="189">
        <f t="shared" si="91"/>
        <v>29.92</v>
      </c>
      <c r="L678" s="189"/>
      <c r="M678" s="138"/>
      <c r="N678" s="138"/>
      <c r="O678" s="138"/>
      <c r="S678" s="72"/>
      <c r="T678" s="72"/>
      <c r="U678" s="72"/>
      <c r="V678" s="72"/>
    </row>
    <row r="679" spans="1:22" s="63" customFormat="1" ht="22.5" x14ac:dyDescent="0.25">
      <c r="A679" s="87">
        <v>6.61</v>
      </c>
      <c r="B679" s="81" t="s">
        <v>46</v>
      </c>
      <c r="C679" s="80">
        <v>15.3</v>
      </c>
      <c r="D679" s="131" t="s">
        <v>664</v>
      </c>
      <c r="E679" s="83" t="s">
        <v>666</v>
      </c>
      <c r="F679" s="81" t="s">
        <v>219</v>
      </c>
      <c r="G679" s="82">
        <v>2</v>
      </c>
      <c r="H679" s="85"/>
      <c r="I679" s="86">
        <v>269.60000000000002</v>
      </c>
      <c r="J679" s="185">
        <f t="shared" si="90"/>
        <v>153.47999999999999</v>
      </c>
      <c r="K679" s="189">
        <f t="shared" si="91"/>
        <v>306.95999999999998</v>
      </c>
      <c r="L679" s="189"/>
      <c r="M679" s="138"/>
      <c r="N679" s="138"/>
      <c r="O679" s="138"/>
      <c r="S679" s="72"/>
      <c r="T679" s="72"/>
      <c r="U679" s="72"/>
      <c r="V679" s="72"/>
    </row>
    <row r="680" spans="1:22" s="63" customFormat="1" ht="22.5" x14ac:dyDescent="0.25">
      <c r="A680" s="87">
        <v>6.62</v>
      </c>
      <c r="B680" s="81" t="s">
        <v>46</v>
      </c>
      <c r="C680" s="80">
        <v>15.4</v>
      </c>
      <c r="D680" s="131" t="s">
        <v>669</v>
      </c>
      <c r="E680" s="83" t="s">
        <v>670</v>
      </c>
      <c r="F680" s="81" t="s">
        <v>566</v>
      </c>
      <c r="G680" s="80">
        <v>0.5</v>
      </c>
      <c r="H680" s="85"/>
      <c r="I680" s="86">
        <v>200.24</v>
      </c>
      <c r="J680" s="185">
        <f t="shared" si="90"/>
        <v>455.99</v>
      </c>
      <c r="K680" s="189">
        <f t="shared" si="91"/>
        <v>228</v>
      </c>
      <c r="L680" s="189"/>
      <c r="M680" s="138"/>
      <c r="N680" s="138"/>
      <c r="O680" s="138"/>
      <c r="S680" s="72"/>
      <c r="T680" s="72"/>
      <c r="U680" s="72"/>
      <c r="V680" s="72"/>
    </row>
    <row r="681" spans="1:22" s="63" customFormat="1" ht="22.5" x14ac:dyDescent="0.25">
      <c r="A681" s="87">
        <v>6.63</v>
      </c>
      <c r="B681" s="81" t="s">
        <v>46</v>
      </c>
      <c r="C681" s="80">
        <v>15.5</v>
      </c>
      <c r="D681" s="131" t="s">
        <v>679</v>
      </c>
      <c r="E681" s="83" t="s">
        <v>3483</v>
      </c>
      <c r="F681" s="81" t="s">
        <v>219</v>
      </c>
      <c r="G681" s="82">
        <v>20</v>
      </c>
      <c r="H681" s="85"/>
      <c r="I681" s="86">
        <v>523.29999999999995</v>
      </c>
      <c r="J681" s="185">
        <f t="shared" si="90"/>
        <v>29.79</v>
      </c>
      <c r="K681" s="189">
        <f t="shared" si="91"/>
        <v>595.79999999999995</v>
      </c>
      <c r="L681" s="189"/>
      <c r="M681" s="138"/>
      <c r="N681" s="138"/>
      <c r="O681" s="138"/>
      <c r="S681" s="72"/>
      <c r="T681" s="72"/>
      <c r="U681" s="72"/>
      <c r="V681" s="72"/>
    </row>
    <row r="682" spans="1:22" s="63" customFormat="1" ht="22.5" x14ac:dyDescent="0.25">
      <c r="A682" s="87">
        <v>6.64</v>
      </c>
      <c r="B682" s="81" t="s">
        <v>46</v>
      </c>
      <c r="C682" s="80">
        <v>15.6</v>
      </c>
      <c r="D682" s="131" t="s">
        <v>680</v>
      </c>
      <c r="E682" s="83" t="s">
        <v>3484</v>
      </c>
      <c r="F682" s="81" t="s">
        <v>219</v>
      </c>
      <c r="G682" s="82">
        <v>24</v>
      </c>
      <c r="H682" s="85"/>
      <c r="I682" s="86">
        <v>1148.8900000000001</v>
      </c>
      <c r="J682" s="185">
        <f t="shared" si="90"/>
        <v>54.51</v>
      </c>
      <c r="K682" s="189">
        <f t="shared" si="91"/>
        <v>1308.24</v>
      </c>
      <c r="L682" s="189"/>
      <c r="M682" s="138"/>
      <c r="N682" s="138"/>
      <c r="O682" s="138"/>
      <c r="S682" s="72"/>
      <c r="T682" s="72"/>
      <c r="U682" s="72"/>
      <c r="V682" s="72"/>
    </row>
    <row r="683" spans="1:22" s="128" customFormat="1" ht="12.75" x14ac:dyDescent="0.25">
      <c r="A683" s="237"/>
      <c r="B683" s="125"/>
      <c r="C683" s="236"/>
      <c r="D683" s="77"/>
      <c r="E683" s="126" t="s">
        <v>3273</v>
      </c>
      <c r="F683" s="125"/>
      <c r="G683" s="76"/>
      <c r="H683" s="127"/>
      <c r="I683" s="78"/>
      <c r="J683" s="238"/>
      <c r="K683" s="239"/>
      <c r="L683" s="239"/>
      <c r="M683" s="79"/>
      <c r="N683" s="79"/>
      <c r="O683" s="79"/>
      <c r="S683" s="129"/>
      <c r="T683" s="129"/>
      <c r="U683" s="129"/>
      <c r="V683" s="129"/>
    </row>
    <row r="684" spans="1:22" s="63" customFormat="1" ht="22.5" x14ac:dyDescent="0.25">
      <c r="A684" s="87">
        <v>6.65</v>
      </c>
      <c r="B684" s="81" t="s">
        <v>46</v>
      </c>
      <c r="C684" s="82">
        <v>16</v>
      </c>
      <c r="D684" s="131" t="s">
        <v>652</v>
      </c>
      <c r="E684" s="83" t="s">
        <v>653</v>
      </c>
      <c r="F684" s="81" t="s">
        <v>354</v>
      </c>
      <c r="G684" s="87">
        <v>0.28000000000000003</v>
      </c>
      <c r="H684" s="85"/>
      <c r="I684" s="86">
        <v>18343.34</v>
      </c>
      <c r="J684" s="185">
        <f t="shared" ref="J684:J695" si="92">ROUND($I684/$G684*$N$11,2)</f>
        <v>74591.88</v>
      </c>
      <c r="K684" s="189">
        <f t="shared" ref="K684:K695" si="93">ROUND(G684*J684,2)</f>
        <v>20885.73</v>
      </c>
      <c r="L684" s="189"/>
      <c r="M684" s="138"/>
      <c r="N684" s="138"/>
      <c r="O684" s="138"/>
      <c r="S684" s="72"/>
      <c r="T684" s="72"/>
      <c r="U684" s="72"/>
      <c r="V684" s="72"/>
    </row>
    <row r="685" spans="1:22" s="63" customFormat="1" ht="22.5" x14ac:dyDescent="0.25">
      <c r="A685" s="87">
        <v>6.66</v>
      </c>
      <c r="B685" s="81" t="s">
        <v>46</v>
      </c>
      <c r="C685" s="80">
        <v>16.100000000000001</v>
      </c>
      <c r="D685" s="131" t="s">
        <v>656</v>
      </c>
      <c r="E685" s="83" t="s">
        <v>657</v>
      </c>
      <c r="F685" s="81" t="s">
        <v>334</v>
      </c>
      <c r="G685" s="87">
        <v>27.94</v>
      </c>
      <c r="H685" s="85"/>
      <c r="I685" s="86">
        <v>10797.64</v>
      </c>
      <c r="J685" s="185">
        <f t="shared" si="92"/>
        <v>440.02</v>
      </c>
      <c r="K685" s="189">
        <f t="shared" si="93"/>
        <v>12294.16</v>
      </c>
      <c r="L685" s="189"/>
      <c r="M685" s="138"/>
      <c r="N685" s="138"/>
      <c r="O685" s="138"/>
      <c r="S685" s="72"/>
      <c r="T685" s="72"/>
      <c r="U685" s="72"/>
      <c r="V685" s="72"/>
    </row>
    <row r="686" spans="1:22" s="63" customFormat="1" ht="22.5" x14ac:dyDescent="0.25">
      <c r="A686" s="87">
        <v>6.67</v>
      </c>
      <c r="B686" s="81" t="s">
        <v>46</v>
      </c>
      <c r="C686" s="80">
        <v>16.2</v>
      </c>
      <c r="D686" s="131" t="s">
        <v>654</v>
      </c>
      <c r="E686" s="83" t="s">
        <v>655</v>
      </c>
      <c r="F686" s="81" t="s">
        <v>216</v>
      </c>
      <c r="G686" s="87">
        <v>0.04</v>
      </c>
      <c r="H686" s="85"/>
      <c r="I686" s="86">
        <v>50.08</v>
      </c>
      <c r="J686" s="185">
        <f t="shared" si="92"/>
        <v>1425.53</v>
      </c>
      <c r="K686" s="189">
        <f t="shared" si="93"/>
        <v>57.02</v>
      </c>
      <c r="L686" s="189"/>
      <c r="M686" s="138"/>
      <c r="N686" s="138"/>
      <c r="O686" s="138"/>
      <c r="S686" s="72"/>
      <c r="T686" s="72"/>
      <c r="U686" s="72"/>
      <c r="V686" s="72"/>
    </row>
    <row r="687" spans="1:22" s="63" customFormat="1" ht="22.5" x14ac:dyDescent="0.25">
      <c r="A687" s="87">
        <v>6.68</v>
      </c>
      <c r="B687" s="81" t="s">
        <v>46</v>
      </c>
      <c r="C687" s="82">
        <v>17</v>
      </c>
      <c r="D687" s="131" t="s">
        <v>658</v>
      </c>
      <c r="E687" s="83" t="s">
        <v>659</v>
      </c>
      <c r="F687" s="81" t="s">
        <v>354</v>
      </c>
      <c r="G687" s="87">
        <v>0.12</v>
      </c>
      <c r="H687" s="85"/>
      <c r="I687" s="86">
        <v>8302.61</v>
      </c>
      <c r="J687" s="185">
        <f t="shared" si="92"/>
        <v>78777.929999999993</v>
      </c>
      <c r="K687" s="189">
        <f t="shared" si="93"/>
        <v>9453.35</v>
      </c>
      <c r="L687" s="189"/>
      <c r="M687" s="138"/>
      <c r="N687" s="138"/>
      <c r="O687" s="138"/>
      <c r="S687" s="72"/>
      <c r="T687" s="72"/>
      <c r="U687" s="72"/>
      <c r="V687" s="72"/>
    </row>
    <row r="688" spans="1:22" s="63" customFormat="1" ht="22.5" x14ac:dyDescent="0.25">
      <c r="A688" s="87">
        <v>6.69</v>
      </c>
      <c r="B688" s="81" t="s">
        <v>46</v>
      </c>
      <c r="C688" s="80">
        <v>17.100000000000001</v>
      </c>
      <c r="D688" s="131" t="s">
        <v>662</v>
      </c>
      <c r="E688" s="83" t="s">
        <v>663</v>
      </c>
      <c r="F688" s="81" t="s">
        <v>334</v>
      </c>
      <c r="G688" s="87">
        <v>11.98</v>
      </c>
      <c r="H688" s="85"/>
      <c r="I688" s="86">
        <v>1104.23</v>
      </c>
      <c r="J688" s="185">
        <f t="shared" si="92"/>
        <v>104.95</v>
      </c>
      <c r="K688" s="189">
        <f t="shared" si="93"/>
        <v>1257.3</v>
      </c>
      <c r="L688" s="189"/>
      <c r="M688" s="138"/>
      <c r="N688" s="138"/>
      <c r="O688" s="138"/>
      <c r="S688" s="72"/>
      <c r="T688" s="72"/>
      <c r="U688" s="72"/>
      <c r="V688" s="72"/>
    </row>
    <row r="689" spans="1:22" s="63" customFormat="1" ht="22.5" x14ac:dyDescent="0.25">
      <c r="A689" s="87">
        <v>6.7</v>
      </c>
      <c r="B689" s="81" t="s">
        <v>46</v>
      </c>
      <c r="C689" s="80">
        <v>17.2</v>
      </c>
      <c r="D689" s="131" t="s">
        <v>660</v>
      </c>
      <c r="E689" s="83" t="s">
        <v>661</v>
      </c>
      <c r="F689" s="81" t="s">
        <v>216</v>
      </c>
      <c r="G689" s="87">
        <v>0.02</v>
      </c>
      <c r="H689" s="85"/>
      <c r="I689" s="86">
        <v>13.14</v>
      </c>
      <c r="J689" s="185">
        <f t="shared" si="92"/>
        <v>748.06</v>
      </c>
      <c r="K689" s="189">
        <f t="shared" si="93"/>
        <v>14.96</v>
      </c>
      <c r="L689" s="189"/>
      <c r="M689" s="138"/>
      <c r="N689" s="138"/>
      <c r="O689" s="138"/>
      <c r="S689" s="72"/>
      <c r="T689" s="72"/>
      <c r="U689" s="72"/>
      <c r="V689" s="72"/>
    </row>
    <row r="690" spans="1:22" s="63" customFormat="1" ht="22.5" x14ac:dyDescent="0.25">
      <c r="A690" s="87">
        <v>6.71</v>
      </c>
      <c r="B690" s="81" t="s">
        <v>46</v>
      </c>
      <c r="C690" s="80">
        <v>17.3</v>
      </c>
      <c r="D690" s="131" t="s">
        <v>664</v>
      </c>
      <c r="E690" s="83" t="s">
        <v>666</v>
      </c>
      <c r="F690" s="81" t="s">
        <v>219</v>
      </c>
      <c r="G690" s="82">
        <v>4</v>
      </c>
      <c r="H690" s="85"/>
      <c r="I690" s="86">
        <v>539.19000000000005</v>
      </c>
      <c r="J690" s="185">
        <f t="shared" si="92"/>
        <v>153.47999999999999</v>
      </c>
      <c r="K690" s="189">
        <f t="shared" si="93"/>
        <v>613.91999999999996</v>
      </c>
      <c r="L690" s="189"/>
      <c r="M690" s="138"/>
      <c r="N690" s="138"/>
      <c r="O690" s="138"/>
      <c r="S690" s="72"/>
      <c r="T690" s="72"/>
      <c r="U690" s="72"/>
      <c r="V690" s="72"/>
    </row>
    <row r="691" spans="1:22" s="63" customFormat="1" ht="22.5" x14ac:dyDescent="0.25">
      <c r="A691" s="87">
        <v>6.72</v>
      </c>
      <c r="B691" s="81" t="s">
        <v>46</v>
      </c>
      <c r="C691" s="80">
        <v>17.399999999999999</v>
      </c>
      <c r="D691" s="131" t="s">
        <v>669</v>
      </c>
      <c r="E691" s="83" t="s">
        <v>670</v>
      </c>
      <c r="F691" s="81" t="s">
        <v>566</v>
      </c>
      <c r="G691" s="80">
        <v>0.4</v>
      </c>
      <c r="H691" s="85"/>
      <c r="I691" s="86">
        <v>160.19999999999999</v>
      </c>
      <c r="J691" s="185">
        <f t="shared" si="92"/>
        <v>456.01</v>
      </c>
      <c r="K691" s="189">
        <f t="shared" si="93"/>
        <v>182.4</v>
      </c>
      <c r="L691" s="189"/>
      <c r="M691" s="138"/>
      <c r="N691" s="138"/>
      <c r="O691" s="138"/>
      <c r="S691" s="72"/>
      <c r="T691" s="72"/>
      <c r="U691" s="72"/>
      <c r="V691" s="72"/>
    </row>
    <row r="692" spans="1:22" s="63" customFormat="1" ht="15" x14ac:dyDescent="0.25">
      <c r="A692" s="87">
        <v>6.73</v>
      </c>
      <c r="B692" s="81" t="s">
        <v>46</v>
      </c>
      <c r="C692" s="82">
        <v>18</v>
      </c>
      <c r="D692" s="131" t="s">
        <v>685</v>
      </c>
      <c r="E692" s="83" t="s">
        <v>689</v>
      </c>
      <c r="F692" s="81" t="s">
        <v>687</v>
      </c>
      <c r="G692" s="80">
        <v>0.8</v>
      </c>
      <c r="H692" s="85"/>
      <c r="I692" s="86">
        <v>5130.92</v>
      </c>
      <c r="J692" s="185">
        <f t="shared" si="92"/>
        <v>7302.58</v>
      </c>
      <c r="K692" s="189">
        <f t="shared" si="93"/>
        <v>5842.06</v>
      </c>
      <c r="L692" s="189"/>
      <c r="M692" s="138"/>
      <c r="N692" s="138"/>
      <c r="O692" s="138"/>
      <c r="S692" s="72"/>
      <c r="T692" s="72"/>
      <c r="U692" s="72"/>
      <c r="V692" s="72"/>
    </row>
    <row r="693" spans="1:22" s="63" customFormat="1" ht="22.5" x14ac:dyDescent="0.25">
      <c r="A693" s="87">
        <v>6.74</v>
      </c>
      <c r="B693" s="81" t="s">
        <v>46</v>
      </c>
      <c r="C693" s="80">
        <v>18.100000000000001</v>
      </c>
      <c r="D693" s="131" t="s">
        <v>688</v>
      </c>
      <c r="E693" s="83" t="s">
        <v>3485</v>
      </c>
      <c r="F693" s="81" t="s">
        <v>219</v>
      </c>
      <c r="G693" s="82">
        <v>8</v>
      </c>
      <c r="H693" s="85"/>
      <c r="I693" s="86">
        <v>15198.03</v>
      </c>
      <c r="J693" s="185">
        <f t="shared" si="92"/>
        <v>2163.06</v>
      </c>
      <c r="K693" s="189">
        <f t="shared" si="93"/>
        <v>17304.48</v>
      </c>
      <c r="L693" s="189"/>
      <c r="M693" s="138"/>
      <c r="N693" s="138"/>
      <c r="O693" s="138"/>
      <c r="S693" s="72"/>
      <c r="T693" s="72"/>
      <c r="U693" s="72"/>
      <c r="V693" s="72"/>
    </row>
    <row r="694" spans="1:22" s="63" customFormat="1" ht="22.5" x14ac:dyDescent="0.25">
      <c r="A694" s="87">
        <v>6.75</v>
      </c>
      <c r="B694" s="81" t="s">
        <v>46</v>
      </c>
      <c r="C694" s="80">
        <v>18.2</v>
      </c>
      <c r="D694" s="131" t="s">
        <v>690</v>
      </c>
      <c r="E694" s="83" t="s">
        <v>3483</v>
      </c>
      <c r="F694" s="81" t="s">
        <v>219</v>
      </c>
      <c r="G694" s="82">
        <v>8</v>
      </c>
      <c r="H694" s="85"/>
      <c r="I694" s="86">
        <v>209.3</v>
      </c>
      <c r="J694" s="185">
        <f t="shared" si="92"/>
        <v>29.79</v>
      </c>
      <c r="K694" s="189">
        <f t="shared" si="93"/>
        <v>238.32</v>
      </c>
      <c r="L694" s="189"/>
      <c r="M694" s="138"/>
      <c r="N694" s="138"/>
      <c r="O694" s="138"/>
      <c r="S694" s="72"/>
      <c r="T694" s="72"/>
      <c r="U694" s="72"/>
      <c r="V694" s="72"/>
    </row>
    <row r="695" spans="1:22" s="63" customFormat="1" ht="22.5" x14ac:dyDescent="0.25">
      <c r="A695" s="87">
        <v>6.76</v>
      </c>
      <c r="B695" s="81" t="s">
        <v>46</v>
      </c>
      <c r="C695" s="80">
        <v>18.3</v>
      </c>
      <c r="D695" s="131" t="s">
        <v>680</v>
      </c>
      <c r="E695" s="83" t="s">
        <v>3484</v>
      </c>
      <c r="F695" s="81" t="s">
        <v>219</v>
      </c>
      <c r="G695" s="82">
        <v>19</v>
      </c>
      <c r="H695" s="85"/>
      <c r="I695" s="86">
        <v>909.49</v>
      </c>
      <c r="J695" s="185">
        <f t="shared" si="92"/>
        <v>54.5</v>
      </c>
      <c r="K695" s="189">
        <f t="shared" si="93"/>
        <v>1035.5</v>
      </c>
      <c r="L695" s="189"/>
      <c r="M695" s="138"/>
      <c r="N695" s="138"/>
      <c r="O695" s="138"/>
      <c r="S695" s="72"/>
      <c r="T695" s="72"/>
      <c r="U695" s="72"/>
      <c r="V695" s="72"/>
    </row>
    <row r="696" spans="1:22" s="128" customFormat="1" ht="12.75" x14ac:dyDescent="0.25">
      <c r="A696" s="237"/>
      <c r="B696" s="125"/>
      <c r="C696" s="236"/>
      <c r="D696" s="77"/>
      <c r="E696" s="126" t="s">
        <v>3274</v>
      </c>
      <c r="F696" s="125"/>
      <c r="G696" s="76"/>
      <c r="H696" s="127"/>
      <c r="I696" s="78"/>
      <c r="J696" s="238"/>
      <c r="K696" s="239"/>
      <c r="L696" s="239"/>
      <c r="M696" s="79"/>
      <c r="N696" s="79"/>
      <c r="O696" s="79"/>
      <c r="S696" s="129"/>
      <c r="T696" s="129"/>
      <c r="U696" s="129"/>
      <c r="V696" s="129"/>
    </row>
    <row r="697" spans="1:22" s="63" customFormat="1" ht="22.5" x14ac:dyDescent="0.25">
      <c r="A697" s="87">
        <v>6.77</v>
      </c>
      <c r="B697" s="81" t="s">
        <v>46</v>
      </c>
      <c r="C697" s="82">
        <v>19</v>
      </c>
      <c r="D697" s="131" t="s">
        <v>691</v>
      </c>
      <c r="E697" s="83" t="s">
        <v>692</v>
      </c>
      <c r="F697" s="81" t="s">
        <v>354</v>
      </c>
      <c r="G697" s="87">
        <v>0.23</v>
      </c>
      <c r="H697" s="85"/>
      <c r="I697" s="86">
        <v>36803.5</v>
      </c>
      <c r="J697" s="185">
        <f>ROUND($I697/$G697*$N$11,2)</f>
        <v>182193.33</v>
      </c>
      <c r="K697" s="189">
        <f t="shared" ref="K697:K704" si="94">ROUND(G697*J697,2)</f>
        <v>41904.47</v>
      </c>
      <c r="L697" s="189"/>
      <c r="M697" s="138"/>
      <c r="N697" s="138"/>
      <c r="O697" s="138"/>
      <c r="S697" s="72"/>
      <c r="T697" s="72"/>
      <c r="U697" s="72"/>
      <c r="V697" s="72"/>
    </row>
    <row r="698" spans="1:22" s="63" customFormat="1" ht="22.5" x14ac:dyDescent="0.25">
      <c r="A698" s="87">
        <v>6.78</v>
      </c>
      <c r="B698" s="81" t="s">
        <v>46</v>
      </c>
      <c r="C698" s="80">
        <v>19.100000000000001</v>
      </c>
      <c r="D698" s="131" t="s">
        <v>693</v>
      </c>
      <c r="E698" s="83" t="s">
        <v>694</v>
      </c>
      <c r="F698" s="81" t="s">
        <v>334</v>
      </c>
      <c r="G698" s="87">
        <v>21.57</v>
      </c>
      <c r="H698" s="85"/>
      <c r="I698" s="86">
        <v>3915.1</v>
      </c>
      <c r="J698" s="185">
        <f>ROUND($I698/$G698*$N$11,2)</f>
        <v>206.66</v>
      </c>
      <c r="K698" s="189">
        <f t="shared" si="94"/>
        <v>4457.66</v>
      </c>
      <c r="L698" s="189"/>
      <c r="M698" s="138"/>
      <c r="N698" s="138"/>
      <c r="O698" s="138"/>
      <c r="S698" s="72"/>
      <c r="T698" s="72"/>
      <c r="U698" s="72"/>
      <c r="V698" s="72"/>
    </row>
    <row r="699" spans="1:22" s="63" customFormat="1" ht="33.75" x14ac:dyDescent="0.25">
      <c r="A699" s="87">
        <v>6.79</v>
      </c>
      <c r="B699" s="81" t="s">
        <v>46</v>
      </c>
      <c r="C699" s="80">
        <v>19.2</v>
      </c>
      <c r="D699" s="131" t="s">
        <v>695</v>
      </c>
      <c r="E699" s="83" t="s">
        <v>696</v>
      </c>
      <c r="F699" s="81" t="s">
        <v>219</v>
      </c>
      <c r="G699" s="82">
        <v>2</v>
      </c>
      <c r="H699" s="85"/>
      <c r="I699" s="86">
        <v>15084.28</v>
      </c>
      <c r="J699" s="185">
        <f>ROUND($I699/$G699*$N$11,2)</f>
        <v>8587.48</v>
      </c>
      <c r="K699" s="189">
        <f t="shared" si="94"/>
        <v>17174.96</v>
      </c>
      <c r="L699" s="189"/>
      <c r="M699" s="138"/>
      <c r="N699" s="138"/>
      <c r="O699" s="138"/>
      <c r="S699" s="72"/>
      <c r="T699" s="72"/>
      <c r="U699" s="72"/>
      <c r="V699" s="72"/>
    </row>
    <row r="700" spans="1:22" s="63" customFormat="1" ht="22.5" x14ac:dyDescent="0.25">
      <c r="A700" s="87">
        <v>6.8</v>
      </c>
      <c r="B700" s="81" t="s">
        <v>46</v>
      </c>
      <c r="C700" s="82">
        <v>20</v>
      </c>
      <c r="D700" s="131" t="s">
        <v>697</v>
      </c>
      <c r="E700" s="83" t="s">
        <v>698</v>
      </c>
      <c r="F700" s="81" t="s">
        <v>219</v>
      </c>
      <c r="G700" s="82">
        <v>2</v>
      </c>
      <c r="H700" s="85"/>
      <c r="I700" s="86">
        <v>33690.28</v>
      </c>
      <c r="J700" s="185">
        <f>ROUND($I700/$G700*$N$11,2)</f>
        <v>19179.88</v>
      </c>
      <c r="K700" s="189">
        <f t="shared" si="94"/>
        <v>38359.760000000002</v>
      </c>
      <c r="L700" s="189"/>
      <c r="M700" s="138"/>
      <c r="N700" s="138"/>
      <c r="O700" s="138"/>
      <c r="S700" s="72"/>
      <c r="T700" s="72"/>
      <c r="U700" s="72"/>
      <c r="V700" s="72"/>
    </row>
    <row r="701" spans="1:22" s="63" customFormat="1" ht="22.5" x14ac:dyDescent="0.25">
      <c r="A701" s="101">
        <v>6.81</v>
      </c>
      <c r="B701" s="102" t="s">
        <v>46</v>
      </c>
      <c r="C701" s="103">
        <v>20.100000000000001</v>
      </c>
      <c r="D701" s="167" t="s">
        <v>699</v>
      </c>
      <c r="E701" s="104" t="s">
        <v>700</v>
      </c>
      <c r="F701" s="102" t="s">
        <v>219</v>
      </c>
      <c r="G701" s="105">
        <v>2</v>
      </c>
      <c r="H701" s="106"/>
      <c r="I701" s="107">
        <v>7662.19</v>
      </c>
      <c r="J701" s="192">
        <f>ROUND($I701/$G701*$N$12,2)</f>
        <v>4285.08</v>
      </c>
      <c r="K701" s="193">
        <f t="shared" si="94"/>
        <v>8570.16</v>
      </c>
      <c r="L701" s="193"/>
      <c r="M701" s="138"/>
      <c r="N701" s="138"/>
      <c r="O701" s="138"/>
      <c r="S701" s="72"/>
      <c r="T701" s="72"/>
      <c r="U701" s="72"/>
      <c r="V701" s="72"/>
    </row>
    <row r="702" spans="1:22" s="63" customFormat="1" ht="22.5" x14ac:dyDescent="0.25">
      <c r="A702" s="87">
        <v>6.82</v>
      </c>
      <c r="B702" s="81" t="s">
        <v>46</v>
      </c>
      <c r="C702" s="82">
        <v>21</v>
      </c>
      <c r="D702" s="131" t="s">
        <v>701</v>
      </c>
      <c r="E702" s="83" t="s">
        <v>702</v>
      </c>
      <c r="F702" s="81" t="s">
        <v>219</v>
      </c>
      <c r="G702" s="82">
        <v>2</v>
      </c>
      <c r="H702" s="85"/>
      <c r="I702" s="86">
        <v>3791.52</v>
      </c>
      <c r="J702" s="185">
        <f>ROUND($I702/$G702*$N$11,2)</f>
        <v>2158.5100000000002</v>
      </c>
      <c r="K702" s="189">
        <f t="shared" si="94"/>
        <v>4317.0200000000004</v>
      </c>
      <c r="L702" s="189"/>
      <c r="M702" s="138"/>
      <c r="N702" s="138"/>
      <c r="O702" s="138"/>
      <c r="S702" s="72"/>
      <c r="T702" s="72"/>
      <c r="U702" s="72"/>
      <c r="V702" s="72"/>
    </row>
    <row r="703" spans="1:22" s="63" customFormat="1" ht="22.5" x14ac:dyDescent="0.25">
      <c r="A703" s="87">
        <v>6.83</v>
      </c>
      <c r="B703" s="81" t="s">
        <v>46</v>
      </c>
      <c r="C703" s="80">
        <v>21.1</v>
      </c>
      <c r="D703" s="131" t="s">
        <v>703</v>
      </c>
      <c r="E703" s="83" t="s">
        <v>704</v>
      </c>
      <c r="F703" s="81" t="s">
        <v>219</v>
      </c>
      <c r="G703" s="82">
        <v>2</v>
      </c>
      <c r="H703" s="85"/>
      <c r="I703" s="86">
        <v>6909.17</v>
      </c>
      <c r="J703" s="185">
        <f>ROUND($I703/$G703*$N$11,2)</f>
        <v>3933.39</v>
      </c>
      <c r="K703" s="189">
        <f t="shared" si="94"/>
        <v>7866.78</v>
      </c>
      <c r="L703" s="189"/>
      <c r="M703" s="138"/>
      <c r="N703" s="138"/>
      <c r="O703" s="138"/>
      <c r="S703" s="72"/>
      <c r="T703" s="72"/>
      <c r="U703" s="72"/>
      <c r="V703" s="72"/>
    </row>
    <row r="704" spans="1:22" s="63" customFormat="1" ht="22.5" x14ac:dyDescent="0.25">
      <c r="A704" s="87">
        <v>6.84</v>
      </c>
      <c r="B704" s="81" t="s">
        <v>46</v>
      </c>
      <c r="C704" s="80">
        <v>21.2</v>
      </c>
      <c r="D704" s="131" t="s">
        <v>705</v>
      </c>
      <c r="E704" s="83" t="s">
        <v>3486</v>
      </c>
      <c r="F704" s="81" t="s">
        <v>219</v>
      </c>
      <c r="G704" s="82">
        <v>15</v>
      </c>
      <c r="H704" s="85"/>
      <c r="I704" s="86">
        <v>283.98</v>
      </c>
      <c r="J704" s="185">
        <f>ROUND($I704/$G704*$N$11,2)</f>
        <v>21.56</v>
      </c>
      <c r="K704" s="189">
        <f t="shared" si="94"/>
        <v>323.39999999999998</v>
      </c>
      <c r="L704" s="189"/>
      <c r="M704" s="138"/>
      <c r="N704" s="138"/>
      <c r="O704" s="138"/>
      <c r="S704" s="72"/>
      <c r="T704" s="72"/>
      <c r="U704" s="72"/>
      <c r="V704" s="72"/>
    </row>
    <row r="705" spans="1:22" s="63" customFormat="1" ht="15" x14ac:dyDescent="0.25">
      <c r="A705" s="194">
        <v>7</v>
      </c>
      <c r="B705" s="418" t="s">
        <v>706</v>
      </c>
      <c r="C705" s="418"/>
      <c r="D705" s="418"/>
      <c r="E705" s="195" t="s">
        <v>49</v>
      </c>
      <c r="F705" s="196"/>
      <c r="G705" s="194">
        <v>1</v>
      </c>
      <c r="H705" s="197">
        <v>5672826.7699999996</v>
      </c>
      <c r="I705" s="355">
        <f>SUM(I708:I989)</f>
        <v>5672826.6900000032</v>
      </c>
      <c r="J705" s="200"/>
      <c r="K705" s="198">
        <f>SUM(K708:K989)</f>
        <v>6438646.8000000073</v>
      </c>
      <c r="L705" s="198"/>
      <c r="M705" s="207"/>
      <c r="N705" s="209"/>
      <c r="O705" s="138"/>
      <c r="S705" s="72"/>
      <c r="T705" s="72"/>
      <c r="U705" s="72"/>
      <c r="V705" s="72"/>
    </row>
    <row r="706" spans="1:22" s="97" customFormat="1" ht="15" x14ac:dyDescent="0.25">
      <c r="A706" s="91"/>
      <c r="B706" s="92"/>
      <c r="C706" s="92"/>
      <c r="D706" s="166"/>
      <c r="E706" s="93" t="s">
        <v>651</v>
      </c>
      <c r="F706" s="94"/>
      <c r="G706" s="91"/>
      <c r="H706" s="95"/>
      <c r="I706" s="96">
        <f>I709+I711+I723+I752+I844+I863+I864+I977</f>
        <v>1016644.59</v>
      </c>
      <c r="J706" s="192"/>
      <c r="K706" s="96">
        <f>K709+K711+K723+K752+K844+K863+K864+K977</f>
        <v>1137116.8899999999</v>
      </c>
      <c r="L706" s="96"/>
      <c r="M706" s="207"/>
      <c r="N706" s="209"/>
      <c r="O706" s="184"/>
      <c r="S706" s="100"/>
      <c r="T706" s="100"/>
      <c r="U706" s="100"/>
      <c r="V706" s="100"/>
    </row>
    <row r="707" spans="1:22" s="97" customFormat="1" ht="15" x14ac:dyDescent="0.25">
      <c r="A707" s="216"/>
      <c r="B707" s="217"/>
      <c r="C707" s="217"/>
      <c r="D707" s="248"/>
      <c r="E707" s="218" t="s">
        <v>3275</v>
      </c>
      <c r="F707" s="219"/>
      <c r="G707" s="216"/>
      <c r="H707" s="220"/>
      <c r="I707" s="221"/>
      <c r="J707" s="244"/>
      <c r="K707" s="221"/>
      <c r="L707" s="221"/>
      <c r="M707" s="207"/>
      <c r="N707" s="209"/>
      <c r="O707" s="184"/>
      <c r="S707" s="100"/>
      <c r="T707" s="100"/>
      <c r="U707" s="100"/>
      <c r="V707" s="100"/>
    </row>
    <row r="708" spans="1:22" s="63" customFormat="1" ht="33.75" x14ac:dyDescent="0.25">
      <c r="A708" s="80">
        <v>7.1</v>
      </c>
      <c r="B708" s="81" t="s">
        <v>48</v>
      </c>
      <c r="C708" s="82">
        <v>1</v>
      </c>
      <c r="D708" s="131" t="s">
        <v>707</v>
      </c>
      <c r="E708" s="83" t="s">
        <v>708</v>
      </c>
      <c r="F708" s="81" t="s">
        <v>219</v>
      </c>
      <c r="G708" s="82">
        <v>1</v>
      </c>
      <c r="H708" s="85"/>
      <c r="I708" s="86">
        <f>32143.03-0.07</f>
        <v>32142.959999999999</v>
      </c>
      <c r="J708" s="185">
        <f>ROUND($I708/$G708*$N$11,2)</f>
        <v>36597.97</v>
      </c>
      <c r="K708" s="189">
        <f t="shared" ref="K708:K752" si="95">ROUND(G708*J708,2)</f>
        <v>36597.97</v>
      </c>
      <c r="L708" s="189"/>
      <c r="M708" s="138"/>
      <c r="N708" s="138"/>
      <c r="O708" s="138"/>
      <c r="S708" s="72"/>
      <c r="T708" s="72"/>
      <c r="U708" s="72"/>
      <c r="V708" s="72"/>
    </row>
    <row r="709" spans="1:22" s="63" customFormat="1" ht="33.75" x14ac:dyDescent="0.25">
      <c r="A709" s="103">
        <v>7.2</v>
      </c>
      <c r="B709" s="102" t="s">
        <v>48</v>
      </c>
      <c r="C709" s="103">
        <v>1.1000000000000001</v>
      </c>
      <c r="D709" s="167" t="s">
        <v>709</v>
      </c>
      <c r="E709" s="104" t="s">
        <v>3487</v>
      </c>
      <c r="F709" s="102" t="s">
        <v>219</v>
      </c>
      <c r="G709" s="105">
        <v>2</v>
      </c>
      <c r="H709" s="106"/>
      <c r="I709" s="107">
        <v>736606.48</v>
      </c>
      <c r="J709" s="192">
        <f>ROUND($I709/$G709*$N$12,2)</f>
        <v>411947.17</v>
      </c>
      <c r="K709" s="193">
        <f t="shared" si="95"/>
        <v>823894.34</v>
      </c>
      <c r="L709" s="193"/>
      <c r="M709" s="138"/>
      <c r="N709" s="138"/>
      <c r="O709" s="138"/>
      <c r="S709" s="72"/>
      <c r="T709" s="72"/>
      <c r="U709" s="72"/>
      <c r="V709" s="72"/>
    </row>
    <row r="710" spans="1:22" s="63" customFormat="1" ht="15" x14ac:dyDescent="0.25">
      <c r="A710" s="80">
        <v>7.3</v>
      </c>
      <c r="B710" s="81" t="s">
        <v>48</v>
      </c>
      <c r="C710" s="82">
        <v>2</v>
      </c>
      <c r="D710" s="131" t="s">
        <v>710</v>
      </c>
      <c r="E710" s="83" t="s">
        <v>711</v>
      </c>
      <c r="F710" s="81" t="s">
        <v>566</v>
      </c>
      <c r="G710" s="80">
        <v>0.1</v>
      </c>
      <c r="H710" s="85"/>
      <c r="I710" s="86">
        <v>17043.060000000001</v>
      </c>
      <c r="J710" s="185">
        <f>ROUND($I710/$G710*$N$11,2)</f>
        <v>194052.28</v>
      </c>
      <c r="K710" s="189">
        <f t="shared" si="95"/>
        <v>19405.23</v>
      </c>
      <c r="L710" s="189"/>
      <c r="M710" s="138"/>
      <c r="N710" s="138"/>
      <c r="O710" s="138"/>
      <c r="S710" s="72"/>
      <c r="T710" s="72"/>
      <c r="U710" s="72"/>
      <c r="V710" s="72"/>
    </row>
    <row r="711" spans="1:22" s="63" customFormat="1" ht="22.5" x14ac:dyDescent="0.25">
      <c r="A711" s="103">
        <v>7.4</v>
      </c>
      <c r="B711" s="102" t="s">
        <v>48</v>
      </c>
      <c r="C711" s="103">
        <v>2.1</v>
      </c>
      <c r="D711" s="167" t="s">
        <v>712</v>
      </c>
      <c r="E711" s="104" t="s">
        <v>3488</v>
      </c>
      <c r="F711" s="102" t="s">
        <v>219</v>
      </c>
      <c r="G711" s="105">
        <v>1</v>
      </c>
      <c r="H711" s="106"/>
      <c r="I711" s="107">
        <f>13913.71-0.01</f>
        <v>13913.699999999999</v>
      </c>
      <c r="J711" s="192">
        <f>ROUND($I711/$G711*$N$12,2)</f>
        <v>15562.47</v>
      </c>
      <c r="K711" s="193">
        <f t="shared" si="95"/>
        <v>15562.47</v>
      </c>
      <c r="L711" s="193"/>
      <c r="M711" s="138"/>
      <c r="N711" s="138"/>
      <c r="O711" s="138"/>
      <c r="S711" s="72"/>
      <c r="T711" s="72"/>
      <c r="U711" s="72"/>
      <c r="V711" s="72"/>
    </row>
    <row r="712" spans="1:22" s="63" customFormat="1" ht="15" x14ac:dyDescent="0.25">
      <c r="A712" s="80">
        <v>7.5</v>
      </c>
      <c r="B712" s="81" t="s">
        <v>48</v>
      </c>
      <c r="C712" s="82">
        <v>3</v>
      </c>
      <c r="D712" s="131" t="s">
        <v>713</v>
      </c>
      <c r="E712" s="83" t="s">
        <v>714</v>
      </c>
      <c r="F712" s="81" t="s">
        <v>219</v>
      </c>
      <c r="G712" s="82">
        <v>1</v>
      </c>
      <c r="H712" s="85"/>
      <c r="I712" s="86">
        <v>2375.63</v>
      </c>
      <c r="J712" s="185">
        <f t="shared" ref="J712:J722" si="96">ROUND($I712/$G712*$N$11,2)</f>
        <v>2704.89</v>
      </c>
      <c r="K712" s="189">
        <f t="shared" si="95"/>
        <v>2704.89</v>
      </c>
      <c r="L712" s="189"/>
      <c r="M712" s="138"/>
      <c r="N712" s="138"/>
      <c r="O712" s="138"/>
      <c r="S712" s="72"/>
      <c r="T712" s="72"/>
      <c r="U712" s="72"/>
      <c r="V712" s="72"/>
    </row>
    <row r="713" spans="1:22" s="63" customFormat="1" ht="22.5" x14ac:dyDescent="0.25">
      <c r="A713" s="80">
        <v>7.6</v>
      </c>
      <c r="B713" s="81" t="s">
        <v>48</v>
      </c>
      <c r="C713" s="80">
        <v>3.1</v>
      </c>
      <c r="D713" s="131" t="s">
        <v>715</v>
      </c>
      <c r="E713" s="83" t="s">
        <v>716</v>
      </c>
      <c r="F713" s="81" t="s">
        <v>219</v>
      </c>
      <c r="G713" s="82">
        <v>1</v>
      </c>
      <c r="H713" s="85"/>
      <c r="I713" s="86">
        <v>1313</v>
      </c>
      <c r="J713" s="185">
        <f t="shared" si="96"/>
        <v>1494.98</v>
      </c>
      <c r="K713" s="189">
        <f t="shared" si="95"/>
        <v>1494.98</v>
      </c>
      <c r="L713" s="189"/>
      <c r="M713" s="138"/>
      <c r="N713" s="138"/>
      <c r="O713" s="138"/>
      <c r="S713" s="72"/>
      <c r="T713" s="72"/>
      <c r="U713" s="72"/>
      <c r="V713" s="72"/>
    </row>
    <row r="714" spans="1:22" s="63" customFormat="1" ht="15" x14ac:dyDescent="0.25">
      <c r="A714" s="80">
        <v>7.7</v>
      </c>
      <c r="B714" s="81" t="s">
        <v>48</v>
      </c>
      <c r="C714" s="82">
        <v>4</v>
      </c>
      <c r="D714" s="131" t="s">
        <v>717</v>
      </c>
      <c r="E714" s="83" t="s">
        <v>718</v>
      </c>
      <c r="F714" s="81" t="s">
        <v>219</v>
      </c>
      <c r="G714" s="82">
        <v>1</v>
      </c>
      <c r="H714" s="85"/>
      <c r="I714" s="86">
        <v>2250.63</v>
      </c>
      <c r="J714" s="185">
        <f t="shared" si="96"/>
        <v>2562.5700000000002</v>
      </c>
      <c r="K714" s="189">
        <f t="shared" si="95"/>
        <v>2562.5700000000002</v>
      </c>
      <c r="L714" s="189"/>
      <c r="M714" s="138"/>
      <c r="N714" s="138"/>
      <c r="O714" s="138"/>
      <c r="S714" s="72"/>
      <c r="T714" s="72"/>
      <c r="U714" s="72"/>
      <c r="V714" s="72"/>
    </row>
    <row r="715" spans="1:22" s="63" customFormat="1" ht="22.5" x14ac:dyDescent="0.25">
      <c r="A715" s="80">
        <v>7.8</v>
      </c>
      <c r="B715" s="81" t="s">
        <v>48</v>
      </c>
      <c r="C715" s="80">
        <v>4.0999999999999996</v>
      </c>
      <c r="D715" s="131" t="s">
        <v>719</v>
      </c>
      <c r="E715" s="83" t="s">
        <v>720</v>
      </c>
      <c r="F715" s="81" t="s">
        <v>219</v>
      </c>
      <c r="G715" s="82">
        <v>1</v>
      </c>
      <c r="H715" s="85"/>
      <c r="I715" s="86">
        <v>433.08</v>
      </c>
      <c r="J715" s="185">
        <f t="shared" si="96"/>
        <v>493.1</v>
      </c>
      <c r="K715" s="189">
        <f t="shared" si="95"/>
        <v>493.1</v>
      </c>
      <c r="L715" s="189"/>
      <c r="M715" s="138"/>
      <c r="N715" s="138"/>
      <c r="O715" s="138"/>
      <c r="S715" s="72"/>
      <c r="T715" s="72"/>
      <c r="U715" s="72"/>
      <c r="V715" s="72"/>
    </row>
    <row r="716" spans="1:22" s="63" customFormat="1" ht="15" x14ac:dyDescent="0.25">
      <c r="A716" s="80">
        <v>7.9</v>
      </c>
      <c r="B716" s="81" t="s">
        <v>48</v>
      </c>
      <c r="C716" s="82">
        <v>5</v>
      </c>
      <c r="D716" s="131" t="s">
        <v>721</v>
      </c>
      <c r="E716" s="83" t="s">
        <v>722</v>
      </c>
      <c r="F716" s="81" t="s">
        <v>491</v>
      </c>
      <c r="G716" s="82">
        <v>1</v>
      </c>
      <c r="H716" s="85"/>
      <c r="I716" s="86">
        <v>273.41000000000003</v>
      </c>
      <c r="J716" s="185">
        <f t="shared" si="96"/>
        <v>311.3</v>
      </c>
      <c r="K716" s="189">
        <f t="shared" si="95"/>
        <v>311.3</v>
      </c>
      <c r="L716" s="189"/>
      <c r="M716" s="138"/>
      <c r="N716" s="138"/>
      <c r="O716" s="138"/>
      <c r="S716" s="72"/>
      <c r="T716" s="72"/>
      <c r="U716" s="72"/>
      <c r="V716" s="72"/>
    </row>
    <row r="717" spans="1:22" s="63" customFormat="1" ht="22.5" x14ac:dyDescent="0.25">
      <c r="A717" s="87">
        <v>7.1</v>
      </c>
      <c r="B717" s="81" t="s">
        <v>48</v>
      </c>
      <c r="C717" s="80">
        <v>5.0999999999999996</v>
      </c>
      <c r="D717" s="131" t="s">
        <v>723</v>
      </c>
      <c r="E717" s="83" t="s">
        <v>724</v>
      </c>
      <c r="F717" s="81" t="s">
        <v>491</v>
      </c>
      <c r="G717" s="82">
        <v>1</v>
      </c>
      <c r="H717" s="85"/>
      <c r="I717" s="86">
        <v>752.67</v>
      </c>
      <c r="J717" s="185">
        <f t="shared" si="96"/>
        <v>856.99</v>
      </c>
      <c r="K717" s="189">
        <f t="shared" si="95"/>
        <v>856.99</v>
      </c>
      <c r="L717" s="189"/>
      <c r="M717" s="138"/>
      <c r="N717" s="138"/>
      <c r="O717" s="138"/>
      <c r="S717" s="72"/>
      <c r="T717" s="72"/>
      <c r="U717" s="72"/>
      <c r="V717" s="72"/>
    </row>
    <row r="718" spans="1:22" s="63" customFormat="1" ht="22.5" x14ac:dyDescent="0.25">
      <c r="A718" s="87">
        <v>7.11</v>
      </c>
      <c r="B718" s="81" t="s">
        <v>48</v>
      </c>
      <c r="C718" s="82">
        <v>6</v>
      </c>
      <c r="D718" s="131" t="s">
        <v>725</v>
      </c>
      <c r="E718" s="83" t="s">
        <v>726</v>
      </c>
      <c r="F718" s="81" t="s">
        <v>216</v>
      </c>
      <c r="G718" s="87">
        <v>0.01</v>
      </c>
      <c r="H718" s="85"/>
      <c r="I718" s="86">
        <v>1335.75</v>
      </c>
      <c r="J718" s="185">
        <f t="shared" si="96"/>
        <v>152088.5</v>
      </c>
      <c r="K718" s="189">
        <f t="shared" si="95"/>
        <v>1520.89</v>
      </c>
      <c r="L718" s="189"/>
      <c r="M718" s="138"/>
      <c r="N718" s="138"/>
      <c r="O718" s="138"/>
      <c r="S718" s="72"/>
      <c r="T718" s="72"/>
      <c r="U718" s="72"/>
      <c r="V718" s="72"/>
    </row>
    <row r="719" spans="1:22" s="63" customFormat="1" ht="22.5" x14ac:dyDescent="0.25">
      <c r="A719" s="87">
        <v>7.12</v>
      </c>
      <c r="B719" s="81" t="s">
        <v>48</v>
      </c>
      <c r="C719" s="80">
        <v>6.1</v>
      </c>
      <c r="D719" s="131" t="s">
        <v>727</v>
      </c>
      <c r="E719" s="83" t="s">
        <v>728</v>
      </c>
      <c r="F719" s="81" t="s">
        <v>205</v>
      </c>
      <c r="G719" s="80">
        <v>0.4</v>
      </c>
      <c r="H719" s="85"/>
      <c r="I719" s="86">
        <v>1664.11</v>
      </c>
      <c r="J719" s="185">
        <f t="shared" si="96"/>
        <v>4736.8900000000003</v>
      </c>
      <c r="K719" s="189">
        <f t="shared" si="95"/>
        <v>1894.76</v>
      </c>
      <c r="L719" s="189"/>
      <c r="M719" s="138"/>
      <c r="N719" s="138"/>
      <c r="O719" s="138"/>
      <c r="S719" s="72"/>
      <c r="T719" s="72"/>
      <c r="U719" s="72"/>
      <c r="V719" s="72"/>
    </row>
    <row r="720" spans="1:22" s="63" customFormat="1" ht="15" x14ac:dyDescent="0.25">
      <c r="A720" s="87">
        <v>7.13</v>
      </c>
      <c r="B720" s="81" t="s">
        <v>48</v>
      </c>
      <c r="C720" s="82">
        <v>7</v>
      </c>
      <c r="D720" s="131" t="s">
        <v>729</v>
      </c>
      <c r="E720" s="83" t="s">
        <v>730</v>
      </c>
      <c r="F720" s="81" t="s">
        <v>566</v>
      </c>
      <c r="G720" s="80">
        <v>0.4</v>
      </c>
      <c r="H720" s="85"/>
      <c r="I720" s="86">
        <v>3732.37</v>
      </c>
      <c r="J720" s="185">
        <f t="shared" si="96"/>
        <v>10624.19</v>
      </c>
      <c r="K720" s="189">
        <f t="shared" si="95"/>
        <v>4249.68</v>
      </c>
      <c r="L720" s="189"/>
      <c r="M720" s="138"/>
      <c r="N720" s="138"/>
      <c r="O720" s="138"/>
      <c r="S720" s="72"/>
      <c r="T720" s="72"/>
      <c r="U720" s="72"/>
      <c r="V720" s="72"/>
    </row>
    <row r="721" spans="1:22" s="63" customFormat="1" ht="22.5" x14ac:dyDescent="0.25">
      <c r="A721" s="87">
        <v>7.14</v>
      </c>
      <c r="B721" s="81" t="s">
        <v>48</v>
      </c>
      <c r="C721" s="80">
        <v>7.1</v>
      </c>
      <c r="D721" s="131" t="s">
        <v>731</v>
      </c>
      <c r="E721" s="83" t="s">
        <v>732</v>
      </c>
      <c r="F721" s="81" t="s">
        <v>219</v>
      </c>
      <c r="G721" s="82">
        <v>4</v>
      </c>
      <c r="H721" s="85"/>
      <c r="I721" s="86">
        <v>3782.88</v>
      </c>
      <c r="J721" s="185">
        <f t="shared" si="96"/>
        <v>1076.8</v>
      </c>
      <c r="K721" s="189">
        <f t="shared" si="95"/>
        <v>4307.2</v>
      </c>
      <c r="L721" s="189"/>
      <c r="M721" s="138"/>
      <c r="N721" s="138"/>
      <c r="O721" s="138"/>
      <c r="S721" s="72"/>
      <c r="T721" s="72"/>
      <c r="U721" s="72"/>
      <c r="V721" s="72"/>
    </row>
    <row r="722" spans="1:22" s="63" customFormat="1" ht="15" x14ac:dyDescent="0.25">
      <c r="A722" s="87">
        <v>7.15</v>
      </c>
      <c r="B722" s="81" t="s">
        <v>48</v>
      </c>
      <c r="C722" s="82">
        <v>8</v>
      </c>
      <c r="D722" s="131" t="s">
        <v>733</v>
      </c>
      <c r="E722" s="83" t="s">
        <v>734</v>
      </c>
      <c r="F722" s="81" t="s">
        <v>219</v>
      </c>
      <c r="G722" s="82">
        <v>1</v>
      </c>
      <c r="H722" s="85"/>
      <c r="I722" s="86">
        <v>1015.75</v>
      </c>
      <c r="J722" s="185">
        <f t="shared" si="96"/>
        <v>1156.53</v>
      </c>
      <c r="K722" s="189">
        <f t="shared" si="95"/>
        <v>1156.53</v>
      </c>
      <c r="L722" s="189"/>
      <c r="M722" s="138"/>
      <c r="N722" s="138"/>
      <c r="O722" s="138"/>
      <c r="S722" s="72"/>
      <c r="T722" s="72"/>
      <c r="U722" s="72"/>
      <c r="V722" s="72"/>
    </row>
    <row r="723" spans="1:22" s="63" customFormat="1" ht="22.5" x14ac:dyDescent="0.25">
      <c r="A723" s="101">
        <v>7.16</v>
      </c>
      <c r="B723" s="102" t="s">
        <v>48</v>
      </c>
      <c r="C723" s="103">
        <v>8.1</v>
      </c>
      <c r="D723" s="167" t="s">
        <v>735</v>
      </c>
      <c r="E723" s="104" t="s">
        <v>3489</v>
      </c>
      <c r="F723" s="102" t="s">
        <v>219</v>
      </c>
      <c r="G723" s="105">
        <v>1</v>
      </c>
      <c r="H723" s="106"/>
      <c r="I723" s="107">
        <v>8685.18</v>
      </c>
      <c r="J723" s="192">
        <f>ROUND($I723/$G723*$N$12,2)</f>
        <v>9714.3700000000008</v>
      </c>
      <c r="K723" s="193">
        <f t="shared" si="95"/>
        <v>9714.3700000000008</v>
      </c>
      <c r="L723" s="193"/>
      <c r="M723" s="138"/>
      <c r="N723" s="138"/>
      <c r="O723" s="138"/>
      <c r="S723" s="72"/>
      <c r="T723" s="72"/>
      <c r="U723" s="72"/>
      <c r="V723" s="72"/>
    </row>
    <row r="724" spans="1:22" s="63" customFormat="1" ht="22.5" x14ac:dyDescent="0.25">
      <c r="A724" s="87">
        <v>7.17</v>
      </c>
      <c r="B724" s="81" t="s">
        <v>48</v>
      </c>
      <c r="C724" s="80">
        <v>8.1999999999999993</v>
      </c>
      <c r="D724" s="131" t="s">
        <v>736</v>
      </c>
      <c r="E724" s="83" t="s">
        <v>3490</v>
      </c>
      <c r="F724" s="81" t="s">
        <v>219</v>
      </c>
      <c r="G724" s="82">
        <v>1</v>
      </c>
      <c r="H724" s="85"/>
      <c r="I724" s="86">
        <v>507.85</v>
      </c>
      <c r="J724" s="185">
        <f t="shared" ref="J724:J751" si="97">ROUND($I724/$G724*$N$11,2)</f>
        <v>578.24</v>
      </c>
      <c r="K724" s="189">
        <f t="shared" si="95"/>
        <v>578.24</v>
      </c>
      <c r="L724" s="189"/>
      <c r="M724" s="138"/>
      <c r="N724" s="138"/>
      <c r="O724" s="138"/>
      <c r="S724" s="72"/>
      <c r="T724" s="72"/>
      <c r="U724" s="72"/>
      <c r="V724" s="72"/>
    </row>
    <row r="725" spans="1:22" s="63" customFormat="1" ht="22.5" x14ac:dyDescent="0.25">
      <c r="A725" s="87">
        <v>7.18</v>
      </c>
      <c r="B725" s="81" t="s">
        <v>48</v>
      </c>
      <c r="C725" s="82">
        <v>9</v>
      </c>
      <c r="D725" s="131" t="s">
        <v>737</v>
      </c>
      <c r="E725" s="83" t="s">
        <v>738</v>
      </c>
      <c r="F725" s="81" t="s">
        <v>566</v>
      </c>
      <c r="G725" s="80">
        <v>0.3</v>
      </c>
      <c r="H725" s="85"/>
      <c r="I725" s="86">
        <v>4456.97</v>
      </c>
      <c r="J725" s="185">
        <f t="shared" si="97"/>
        <v>16915.689999999999</v>
      </c>
      <c r="K725" s="189">
        <f t="shared" si="95"/>
        <v>5074.71</v>
      </c>
      <c r="L725" s="189"/>
      <c r="M725" s="138"/>
      <c r="N725" s="138"/>
      <c r="O725" s="138"/>
      <c r="S725" s="72"/>
      <c r="T725" s="72"/>
      <c r="U725" s="72"/>
      <c r="V725" s="72"/>
    </row>
    <row r="726" spans="1:22" s="63" customFormat="1" ht="22.5" x14ac:dyDescent="0.25">
      <c r="A726" s="87">
        <v>7.19</v>
      </c>
      <c r="B726" s="81" t="s">
        <v>48</v>
      </c>
      <c r="C726" s="80">
        <v>9.1</v>
      </c>
      <c r="D726" s="131" t="s">
        <v>739</v>
      </c>
      <c r="E726" s="83" t="s">
        <v>740</v>
      </c>
      <c r="F726" s="81" t="s">
        <v>219</v>
      </c>
      <c r="G726" s="82">
        <v>3</v>
      </c>
      <c r="H726" s="85"/>
      <c r="I726" s="86">
        <v>32854.050000000003</v>
      </c>
      <c r="J726" s="185">
        <f t="shared" si="97"/>
        <v>12469.21</v>
      </c>
      <c r="K726" s="189">
        <f t="shared" si="95"/>
        <v>37407.629999999997</v>
      </c>
      <c r="L726" s="189"/>
      <c r="M726" s="138"/>
      <c r="N726" s="138"/>
      <c r="O726" s="138"/>
      <c r="S726" s="72"/>
      <c r="T726" s="72"/>
      <c r="U726" s="72"/>
      <c r="V726" s="72"/>
    </row>
    <row r="727" spans="1:22" s="63" customFormat="1" ht="15" x14ac:dyDescent="0.25">
      <c r="A727" s="87">
        <v>7.2</v>
      </c>
      <c r="B727" s="81" t="s">
        <v>48</v>
      </c>
      <c r="C727" s="82">
        <v>10</v>
      </c>
      <c r="D727" s="131" t="s">
        <v>741</v>
      </c>
      <c r="E727" s="83" t="s">
        <v>742</v>
      </c>
      <c r="F727" s="81" t="s">
        <v>219</v>
      </c>
      <c r="G727" s="82">
        <v>6</v>
      </c>
      <c r="H727" s="85"/>
      <c r="I727" s="86">
        <v>7411.83</v>
      </c>
      <c r="J727" s="185">
        <f t="shared" si="97"/>
        <v>1406.52</v>
      </c>
      <c r="K727" s="189">
        <f t="shared" si="95"/>
        <v>8439.1200000000008</v>
      </c>
      <c r="L727" s="189"/>
      <c r="M727" s="138"/>
      <c r="N727" s="138"/>
      <c r="O727" s="138"/>
      <c r="S727" s="72"/>
      <c r="T727" s="72"/>
      <c r="U727" s="72"/>
      <c r="V727" s="72"/>
    </row>
    <row r="728" spans="1:22" s="63" customFormat="1" ht="22.5" x14ac:dyDescent="0.25">
      <c r="A728" s="87">
        <v>7.21</v>
      </c>
      <c r="B728" s="81" t="s">
        <v>48</v>
      </c>
      <c r="C728" s="80">
        <v>10.1</v>
      </c>
      <c r="D728" s="131" t="s">
        <v>743</v>
      </c>
      <c r="E728" s="83" t="s">
        <v>744</v>
      </c>
      <c r="F728" s="81" t="s">
        <v>219</v>
      </c>
      <c r="G728" s="82">
        <v>6</v>
      </c>
      <c r="H728" s="85"/>
      <c r="I728" s="86">
        <v>8072.99</v>
      </c>
      <c r="J728" s="185">
        <f t="shared" si="97"/>
        <v>1531.98</v>
      </c>
      <c r="K728" s="189">
        <f t="shared" si="95"/>
        <v>9191.8799999999992</v>
      </c>
      <c r="L728" s="189"/>
      <c r="M728" s="138"/>
      <c r="N728" s="138"/>
      <c r="O728" s="138"/>
      <c r="S728" s="72"/>
      <c r="T728" s="72"/>
      <c r="U728" s="72"/>
      <c r="V728" s="72"/>
    </row>
    <row r="729" spans="1:22" s="63" customFormat="1" ht="22.5" x14ac:dyDescent="0.25">
      <c r="A729" s="87">
        <v>7.22</v>
      </c>
      <c r="B729" s="81" t="s">
        <v>48</v>
      </c>
      <c r="C729" s="82">
        <v>11</v>
      </c>
      <c r="D729" s="131" t="s">
        <v>745</v>
      </c>
      <c r="E729" s="83" t="s">
        <v>746</v>
      </c>
      <c r="F729" s="81" t="s">
        <v>219</v>
      </c>
      <c r="G729" s="82">
        <v>3</v>
      </c>
      <c r="H729" s="85"/>
      <c r="I729" s="86">
        <v>5756.35</v>
      </c>
      <c r="J729" s="185">
        <f t="shared" si="97"/>
        <v>2184.73</v>
      </c>
      <c r="K729" s="189">
        <f t="shared" si="95"/>
        <v>6554.19</v>
      </c>
      <c r="L729" s="189"/>
      <c r="M729" s="138"/>
      <c r="N729" s="138"/>
      <c r="O729" s="138"/>
      <c r="S729" s="72"/>
      <c r="T729" s="72"/>
      <c r="U729" s="72"/>
      <c r="V729" s="72"/>
    </row>
    <row r="730" spans="1:22" s="63" customFormat="1" ht="22.5" x14ac:dyDescent="0.25">
      <c r="A730" s="87">
        <v>7.23</v>
      </c>
      <c r="B730" s="81" t="s">
        <v>48</v>
      </c>
      <c r="C730" s="80">
        <v>11.1</v>
      </c>
      <c r="D730" s="131" t="s">
        <v>747</v>
      </c>
      <c r="E730" s="83" t="s">
        <v>748</v>
      </c>
      <c r="F730" s="81" t="s">
        <v>219</v>
      </c>
      <c r="G730" s="82">
        <v>1</v>
      </c>
      <c r="H730" s="85"/>
      <c r="I730" s="86">
        <v>955.84</v>
      </c>
      <c r="J730" s="185">
        <f t="shared" si="97"/>
        <v>1088.32</v>
      </c>
      <c r="K730" s="189">
        <f t="shared" si="95"/>
        <v>1088.32</v>
      </c>
      <c r="L730" s="189"/>
      <c r="M730" s="138"/>
      <c r="N730" s="138"/>
      <c r="O730" s="138"/>
      <c r="S730" s="72"/>
      <c r="T730" s="72"/>
      <c r="U730" s="72"/>
      <c r="V730" s="72"/>
    </row>
    <row r="731" spans="1:22" s="63" customFormat="1" ht="22.5" x14ac:dyDescent="0.25">
      <c r="A731" s="87">
        <v>7.24</v>
      </c>
      <c r="B731" s="81" t="s">
        <v>48</v>
      </c>
      <c r="C731" s="80">
        <v>11.2</v>
      </c>
      <c r="D731" s="131" t="s">
        <v>749</v>
      </c>
      <c r="E731" s="83" t="s">
        <v>750</v>
      </c>
      <c r="F731" s="81" t="s">
        <v>219</v>
      </c>
      <c r="G731" s="82">
        <v>2</v>
      </c>
      <c r="H731" s="85"/>
      <c r="I731" s="86">
        <v>9873.49</v>
      </c>
      <c r="J731" s="185">
        <f t="shared" si="97"/>
        <v>5620.98</v>
      </c>
      <c r="K731" s="189">
        <f t="shared" si="95"/>
        <v>11241.96</v>
      </c>
      <c r="L731" s="189"/>
      <c r="M731" s="138"/>
      <c r="N731" s="138"/>
      <c r="O731" s="138"/>
      <c r="S731" s="72"/>
      <c r="T731" s="72"/>
      <c r="U731" s="72"/>
      <c r="V731" s="72"/>
    </row>
    <row r="732" spans="1:22" s="63" customFormat="1" ht="22.5" x14ac:dyDescent="0.25">
      <c r="A732" s="87">
        <v>7.25</v>
      </c>
      <c r="B732" s="81" t="s">
        <v>48</v>
      </c>
      <c r="C732" s="80">
        <v>11.3</v>
      </c>
      <c r="D732" s="131" t="s">
        <v>751</v>
      </c>
      <c r="E732" s="83" t="s">
        <v>752</v>
      </c>
      <c r="F732" s="81" t="s">
        <v>219</v>
      </c>
      <c r="G732" s="82">
        <v>2</v>
      </c>
      <c r="H732" s="85"/>
      <c r="I732" s="86">
        <v>6826.94</v>
      </c>
      <c r="J732" s="185">
        <f t="shared" si="97"/>
        <v>3886.58</v>
      </c>
      <c r="K732" s="189">
        <f t="shared" si="95"/>
        <v>7773.16</v>
      </c>
      <c r="L732" s="189"/>
      <c r="M732" s="138"/>
      <c r="N732" s="138"/>
      <c r="O732" s="138"/>
      <c r="S732" s="72"/>
      <c r="T732" s="72"/>
      <c r="U732" s="72"/>
      <c r="V732" s="72"/>
    </row>
    <row r="733" spans="1:22" s="63" customFormat="1" ht="22.5" x14ac:dyDescent="0.25">
      <c r="A733" s="87">
        <v>7.26</v>
      </c>
      <c r="B733" s="81" t="s">
        <v>48</v>
      </c>
      <c r="C733" s="80">
        <v>11.4</v>
      </c>
      <c r="D733" s="131" t="s">
        <v>753</v>
      </c>
      <c r="E733" s="83" t="s">
        <v>754</v>
      </c>
      <c r="F733" s="81" t="s">
        <v>219</v>
      </c>
      <c r="G733" s="82">
        <v>3</v>
      </c>
      <c r="H733" s="85"/>
      <c r="I733" s="86">
        <v>403.86</v>
      </c>
      <c r="J733" s="185">
        <f t="shared" si="97"/>
        <v>153.28</v>
      </c>
      <c r="K733" s="189">
        <f t="shared" si="95"/>
        <v>459.84</v>
      </c>
      <c r="L733" s="189"/>
      <c r="M733" s="138"/>
      <c r="N733" s="138"/>
      <c r="O733" s="138"/>
      <c r="S733" s="72"/>
      <c r="T733" s="72"/>
      <c r="U733" s="72"/>
      <c r="V733" s="72"/>
    </row>
    <row r="734" spans="1:22" s="63" customFormat="1" ht="22.5" x14ac:dyDescent="0.25">
      <c r="A734" s="87">
        <v>7.27</v>
      </c>
      <c r="B734" s="81" t="s">
        <v>48</v>
      </c>
      <c r="C734" s="80">
        <v>11.5</v>
      </c>
      <c r="D734" s="131" t="s">
        <v>755</v>
      </c>
      <c r="E734" s="83" t="s">
        <v>756</v>
      </c>
      <c r="F734" s="81" t="s">
        <v>219</v>
      </c>
      <c r="G734" s="82">
        <v>27</v>
      </c>
      <c r="H734" s="85"/>
      <c r="I734" s="86">
        <v>6387.21</v>
      </c>
      <c r="J734" s="185">
        <f t="shared" si="97"/>
        <v>269.35000000000002</v>
      </c>
      <c r="K734" s="189">
        <f t="shared" si="95"/>
        <v>7272.45</v>
      </c>
      <c r="L734" s="189"/>
      <c r="M734" s="138"/>
      <c r="N734" s="138"/>
      <c r="O734" s="138"/>
      <c r="S734" s="72"/>
      <c r="T734" s="72"/>
      <c r="U734" s="72"/>
      <c r="V734" s="72"/>
    </row>
    <row r="735" spans="1:22" s="63" customFormat="1" ht="22.5" x14ac:dyDescent="0.25">
      <c r="A735" s="87">
        <v>7.28</v>
      </c>
      <c r="B735" s="81" t="s">
        <v>48</v>
      </c>
      <c r="C735" s="82">
        <v>12</v>
      </c>
      <c r="D735" s="131" t="s">
        <v>757</v>
      </c>
      <c r="E735" s="83" t="s">
        <v>758</v>
      </c>
      <c r="F735" s="81" t="s">
        <v>354</v>
      </c>
      <c r="G735" s="87">
        <v>0.13</v>
      </c>
      <c r="H735" s="85"/>
      <c r="I735" s="86">
        <v>7643.97</v>
      </c>
      <c r="J735" s="185">
        <f t="shared" si="97"/>
        <v>66949.42</v>
      </c>
      <c r="K735" s="189">
        <f t="shared" si="95"/>
        <v>8703.42</v>
      </c>
      <c r="L735" s="189"/>
      <c r="M735" s="138"/>
      <c r="N735" s="138"/>
      <c r="O735" s="138"/>
      <c r="S735" s="72"/>
      <c r="T735" s="72"/>
      <c r="U735" s="72"/>
      <c r="V735" s="72"/>
    </row>
    <row r="736" spans="1:22" s="63" customFormat="1" ht="33.75" x14ac:dyDescent="0.25">
      <c r="A736" s="87">
        <v>7.29</v>
      </c>
      <c r="B736" s="81" t="s">
        <v>48</v>
      </c>
      <c r="C736" s="80">
        <v>12.1</v>
      </c>
      <c r="D736" s="131" t="s">
        <v>759</v>
      </c>
      <c r="E736" s="83" t="s">
        <v>760</v>
      </c>
      <c r="F736" s="81" t="s">
        <v>334</v>
      </c>
      <c r="G736" s="82">
        <v>13</v>
      </c>
      <c r="H736" s="85"/>
      <c r="I736" s="86">
        <v>7889.17</v>
      </c>
      <c r="J736" s="185">
        <f t="shared" si="97"/>
        <v>690.97</v>
      </c>
      <c r="K736" s="189">
        <f t="shared" si="95"/>
        <v>8982.61</v>
      </c>
      <c r="L736" s="189"/>
      <c r="M736" s="138"/>
      <c r="N736" s="138"/>
      <c r="O736" s="138"/>
      <c r="S736" s="72"/>
      <c r="T736" s="72"/>
      <c r="U736" s="72"/>
      <c r="V736" s="72"/>
    </row>
    <row r="737" spans="1:22" s="63" customFormat="1" ht="22.5" x14ac:dyDescent="0.25">
      <c r="A737" s="87">
        <v>7.3</v>
      </c>
      <c r="B737" s="81" t="s">
        <v>48</v>
      </c>
      <c r="C737" s="80">
        <v>12.2</v>
      </c>
      <c r="D737" s="131" t="s">
        <v>679</v>
      </c>
      <c r="E737" s="83" t="s">
        <v>3491</v>
      </c>
      <c r="F737" s="81" t="s">
        <v>219</v>
      </c>
      <c r="G737" s="82">
        <v>5</v>
      </c>
      <c r="H737" s="85"/>
      <c r="I737" s="86">
        <v>130.80000000000001</v>
      </c>
      <c r="J737" s="185">
        <f t="shared" si="97"/>
        <v>29.79</v>
      </c>
      <c r="K737" s="189">
        <f t="shared" si="95"/>
        <v>148.94999999999999</v>
      </c>
      <c r="L737" s="189"/>
      <c r="M737" s="138"/>
      <c r="N737" s="138"/>
      <c r="O737" s="138"/>
      <c r="S737" s="72"/>
      <c r="T737" s="72"/>
      <c r="U737" s="72"/>
      <c r="V737" s="72"/>
    </row>
    <row r="738" spans="1:22" s="63" customFormat="1" ht="22.5" x14ac:dyDescent="0.25">
      <c r="A738" s="87">
        <v>7.31</v>
      </c>
      <c r="B738" s="81" t="s">
        <v>48</v>
      </c>
      <c r="C738" s="82">
        <v>13</v>
      </c>
      <c r="D738" s="131" t="s">
        <v>761</v>
      </c>
      <c r="E738" s="83" t="s">
        <v>762</v>
      </c>
      <c r="F738" s="81" t="s">
        <v>354</v>
      </c>
      <c r="G738" s="87">
        <v>0.13</v>
      </c>
      <c r="H738" s="85"/>
      <c r="I738" s="86">
        <v>5874.66</v>
      </c>
      <c r="J738" s="185">
        <f t="shared" si="97"/>
        <v>51452.98</v>
      </c>
      <c r="K738" s="189">
        <f t="shared" si="95"/>
        <v>6688.89</v>
      </c>
      <c r="L738" s="189"/>
      <c r="M738" s="138"/>
      <c r="N738" s="138"/>
      <c r="O738" s="138"/>
      <c r="S738" s="72"/>
      <c r="T738" s="72"/>
      <c r="U738" s="72"/>
      <c r="V738" s="72"/>
    </row>
    <row r="739" spans="1:22" s="63" customFormat="1" ht="33.75" x14ac:dyDescent="0.25">
      <c r="A739" s="87">
        <v>7.32</v>
      </c>
      <c r="B739" s="81" t="s">
        <v>48</v>
      </c>
      <c r="C739" s="80">
        <v>13.1</v>
      </c>
      <c r="D739" s="131" t="s">
        <v>763</v>
      </c>
      <c r="E739" s="83" t="s">
        <v>764</v>
      </c>
      <c r="F739" s="81" t="s">
        <v>334</v>
      </c>
      <c r="G739" s="82">
        <v>13</v>
      </c>
      <c r="H739" s="85"/>
      <c r="I739" s="86">
        <v>6204.9</v>
      </c>
      <c r="J739" s="185">
        <f t="shared" si="97"/>
        <v>543.45000000000005</v>
      </c>
      <c r="K739" s="189">
        <f t="shared" si="95"/>
        <v>7064.85</v>
      </c>
      <c r="L739" s="189"/>
      <c r="M739" s="138"/>
      <c r="N739" s="138"/>
      <c r="O739" s="138"/>
      <c r="S739" s="72"/>
      <c r="T739" s="72"/>
      <c r="U739" s="72"/>
      <c r="V739" s="72"/>
    </row>
    <row r="740" spans="1:22" s="63" customFormat="1" ht="22.5" x14ac:dyDescent="0.25">
      <c r="A740" s="87">
        <v>7.33</v>
      </c>
      <c r="B740" s="81" t="s">
        <v>48</v>
      </c>
      <c r="C740" s="80">
        <v>13.2</v>
      </c>
      <c r="D740" s="131" t="s">
        <v>765</v>
      </c>
      <c r="E740" s="83" t="s">
        <v>3492</v>
      </c>
      <c r="F740" s="81" t="s">
        <v>219</v>
      </c>
      <c r="G740" s="82">
        <v>5</v>
      </c>
      <c r="H740" s="85"/>
      <c r="I740" s="86">
        <v>117.57</v>
      </c>
      <c r="J740" s="185">
        <f t="shared" si="97"/>
        <v>26.77</v>
      </c>
      <c r="K740" s="189">
        <f t="shared" si="95"/>
        <v>133.85</v>
      </c>
      <c r="L740" s="189"/>
      <c r="M740" s="138"/>
      <c r="N740" s="138"/>
      <c r="O740" s="138"/>
      <c r="S740" s="72"/>
      <c r="T740" s="72"/>
      <c r="U740" s="72"/>
      <c r="V740" s="72"/>
    </row>
    <row r="741" spans="1:22" s="63" customFormat="1" ht="22.5" x14ac:dyDescent="0.25">
      <c r="A741" s="87">
        <v>7.34</v>
      </c>
      <c r="B741" s="81" t="s">
        <v>48</v>
      </c>
      <c r="C741" s="82">
        <v>14</v>
      </c>
      <c r="D741" s="131" t="s">
        <v>766</v>
      </c>
      <c r="E741" s="83" t="s">
        <v>767</v>
      </c>
      <c r="F741" s="81" t="s">
        <v>354</v>
      </c>
      <c r="G741" s="87">
        <v>0.26</v>
      </c>
      <c r="H741" s="85"/>
      <c r="I741" s="86">
        <v>2023.62</v>
      </c>
      <c r="J741" s="185">
        <f t="shared" si="97"/>
        <v>8861.9</v>
      </c>
      <c r="K741" s="189">
        <f t="shared" si="95"/>
        <v>2304.09</v>
      </c>
      <c r="L741" s="189"/>
      <c r="M741" s="138"/>
      <c r="N741" s="138"/>
      <c r="O741" s="138"/>
      <c r="S741" s="72"/>
      <c r="T741" s="72"/>
      <c r="U741" s="72"/>
      <c r="V741" s="72"/>
    </row>
    <row r="742" spans="1:22" s="63" customFormat="1" ht="15" x14ac:dyDescent="0.25">
      <c r="A742" s="87">
        <v>7.35</v>
      </c>
      <c r="B742" s="81" t="s">
        <v>48</v>
      </c>
      <c r="C742" s="82">
        <v>15</v>
      </c>
      <c r="D742" s="131" t="s">
        <v>341</v>
      </c>
      <c r="E742" s="83" t="s">
        <v>342</v>
      </c>
      <c r="F742" s="81" t="s">
        <v>207</v>
      </c>
      <c r="G742" s="84">
        <v>3.5000000000000003E-2</v>
      </c>
      <c r="H742" s="85"/>
      <c r="I742" s="86">
        <v>261.69</v>
      </c>
      <c r="J742" s="185">
        <f t="shared" si="97"/>
        <v>8513.15</v>
      </c>
      <c r="K742" s="189">
        <f t="shared" si="95"/>
        <v>297.95999999999998</v>
      </c>
      <c r="L742" s="189"/>
      <c r="M742" s="138"/>
      <c r="N742" s="138"/>
      <c r="O742" s="138"/>
      <c r="S742" s="72"/>
      <c r="T742" s="72"/>
      <c r="U742" s="72"/>
      <c r="V742" s="72"/>
    </row>
    <row r="743" spans="1:22" s="63" customFormat="1" ht="22.5" x14ac:dyDescent="0.25">
      <c r="A743" s="87">
        <v>7.36</v>
      </c>
      <c r="B743" s="81" t="s">
        <v>48</v>
      </c>
      <c r="C743" s="82">
        <v>16</v>
      </c>
      <c r="D743" s="131" t="s">
        <v>768</v>
      </c>
      <c r="E743" s="83" t="s">
        <v>769</v>
      </c>
      <c r="F743" s="81" t="s">
        <v>207</v>
      </c>
      <c r="G743" s="84">
        <v>3.5000000000000003E-2</v>
      </c>
      <c r="H743" s="85"/>
      <c r="I743" s="86">
        <v>269.62</v>
      </c>
      <c r="J743" s="185">
        <f t="shared" si="97"/>
        <v>8771.1200000000008</v>
      </c>
      <c r="K743" s="189">
        <f t="shared" si="95"/>
        <v>306.99</v>
      </c>
      <c r="L743" s="189"/>
      <c r="M743" s="138"/>
      <c r="N743" s="138"/>
      <c r="O743" s="138"/>
      <c r="S743" s="72"/>
      <c r="T743" s="72"/>
      <c r="U743" s="72"/>
      <c r="V743" s="72"/>
    </row>
    <row r="744" spans="1:22" s="63" customFormat="1" ht="22.5" x14ac:dyDescent="0.25">
      <c r="A744" s="87">
        <v>7.37</v>
      </c>
      <c r="B744" s="81" t="s">
        <v>48</v>
      </c>
      <c r="C744" s="82">
        <v>17</v>
      </c>
      <c r="D744" s="131" t="s">
        <v>770</v>
      </c>
      <c r="E744" s="83" t="s">
        <v>771</v>
      </c>
      <c r="F744" s="81" t="s">
        <v>772</v>
      </c>
      <c r="G744" s="80">
        <v>0.6</v>
      </c>
      <c r="H744" s="85"/>
      <c r="I744" s="86">
        <v>2815.07</v>
      </c>
      <c r="J744" s="185">
        <f t="shared" si="97"/>
        <v>5342.06</v>
      </c>
      <c r="K744" s="189">
        <f t="shared" si="95"/>
        <v>3205.24</v>
      </c>
      <c r="L744" s="189"/>
      <c r="M744" s="138"/>
      <c r="N744" s="138"/>
      <c r="O744" s="138"/>
      <c r="S744" s="72"/>
      <c r="T744" s="72"/>
      <c r="U744" s="72"/>
      <c r="V744" s="72"/>
    </row>
    <row r="745" spans="1:22" s="63" customFormat="1" ht="22.5" x14ac:dyDescent="0.25">
      <c r="A745" s="87">
        <v>7.38</v>
      </c>
      <c r="B745" s="81" t="s">
        <v>48</v>
      </c>
      <c r="C745" s="80">
        <v>17.100000000000001</v>
      </c>
      <c r="D745" s="131" t="s">
        <v>773</v>
      </c>
      <c r="E745" s="83" t="s">
        <v>774</v>
      </c>
      <c r="F745" s="81" t="s">
        <v>772</v>
      </c>
      <c r="G745" s="87">
        <v>0.66</v>
      </c>
      <c r="H745" s="85"/>
      <c r="I745" s="86">
        <v>3494.81</v>
      </c>
      <c r="J745" s="185">
        <f t="shared" si="97"/>
        <v>6029.08</v>
      </c>
      <c r="K745" s="189">
        <f t="shared" si="95"/>
        <v>3979.19</v>
      </c>
      <c r="L745" s="189"/>
      <c r="M745" s="138"/>
      <c r="N745" s="138"/>
      <c r="O745" s="138"/>
      <c r="S745" s="72"/>
      <c r="T745" s="72"/>
      <c r="U745" s="72"/>
      <c r="V745" s="72"/>
    </row>
    <row r="746" spans="1:22" s="63" customFormat="1" ht="22.5" x14ac:dyDescent="0.25">
      <c r="A746" s="87">
        <v>7.39</v>
      </c>
      <c r="B746" s="81" t="s">
        <v>48</v>
      </c>
      <c r="C746" s="80">
        <v>17.2</v>
      </c>
      <c r="D746" s="131" t="s">
        <v>775</v>
      </c>
      <c r="E746" s="83" t="s">
        <v>776</v>
      </c>
      <c r="F746" s="81" t="s">
        <v>219</v>
      </c>
      <c r="G746" s="82">
        <v>3</v>
      </c>
      <c r="H746" s="85"/>
      <c r="I746" s="86">
        <v>6299.29</v>
      </c>
      <c r="J746" s="185">
        <f t="shared" si="97"/>
        <v>2390.79</v>
      </c>
      <c r="K746" s="189">
        <f t="shared" si="95"/>
        <v>7172.37</v>
      </c>
      <c r="L746" s="189"/>
      <c r="M746" s="138"/>
      <c r="N746" s="138"/>
      <c r="O746" s="138"/>
      <c r="S746" s="72"/>
      <c r="T746" s="72"/>
      <c r="U746" s="72"/>
      <c r="V746" s="72"/>
    </row>
    <row r="747" spans="1:22" s="63" customFormat="1" ht="22.5" x14ac:dyDescent="0.25">
      <c r="A747" s="87">
        <v>7.4</v>
      </c>
      <c r="B747" s="81" t="s">
        <v>48</v>
      </c>
      <c r="C747" s="82">
        <v>18</v>
      </c>
      <c r="D747" s="131" t="s">
        <v>777</v>
      </c>
      <c r="E747" s="83" t="s">
        <v>778</v>
      </c>
      <c r="F747" s="81" t="s">
        <v>779</v>
      </c>
      <c r="G747" s="82">
        <v>1</v>
      </c>
      <c r="H747" s="85"/>
      <c r="I747" s="86">
        <v>1383.54</v>
      </c>
      <c r="J747" s="185">
        <f t="shared" si="97"/>
        <v>1575.3</v>
      </c>
      <c r="K747" s="189">
        <f t="shared" si="95"/>
        <v>1575.3</v>
      </c>
      <c r="L747" s="189"/>
      <c r="M747" s="138"/>
      <c r="N747" s="138"/>
      <c r="O747" s="138"/>
      <c r="S747" s="72"/>
      <c r="T747" s="72"/>
      <c r="U747" s="72"/>
      <c r="V747" s="72"/>
    </row>
    <row r="748" spans="1:22" s="63" customFormat="1" ht="22.5" x14ac:dyDescent="0.25">
      <c r="A748" s="87">
        <v>7.41</v>
      </c>
      <c r="B748" s="81" t="s">
        <v>48</v>
      </c>
      <c r="C748" s="80">
        <v>18.100000000000001</v>
      </c>
      <c r="D748" s="131" t="s">
        <v>780</v>
      </c>
      <c r="E748" s="83" t="s">
        <v>781</v>
      </c>
      <c r="F748" s="81" t="s">
        <v>219</v>
      </c>
      <c r="G748" s="82">
        <v>2</v>
      </c>
      <c r="H748" s="85"/>
      <c r="I748" s="86">
        <v>4541.05</v>
      </c>
      <c r="J748" s="185">
        <f t="shared" si="97"/>
        <v>2585.2199999999998</v>
      </c>
      <c r="K748" s="189">
        <f t="shared" si="95"/>
        <v>5170.4399999999996</v>
      </c>
      <c r="L748" s="189"/>
      <c r="M748" s="138"/>
      <c r="N748" s="138"/>
      <c r="O748" s="138"/>
      <c r="S748" s="72"/>
      <c r="T748" s="72"/>
      <c r="U748" s="72"/>
      <c r="V748" s="72"/>
    </row>
    <row r="749" spans="1:22" s="63" customFormat="1" ht="22.5" x14ac:dyDescent="0.25">
      <c r="A749" s="87">
        <v>7.42</v>
      </c>
      <c r="B749" s="81" t="s">
        <v>48</v>
      </c>
      <c r="C749" s="82">
        <v>19</v>
      </c>
      <c r="D749" s="131" t="s">
        <v>733</v>
      </c>
      <c r="E749" s="83" t="s">
        <v>782</v>
      </c>
      <c r="F749" s="81" t="s">
        <v>219</v>
      </c>
      <c r="G749" s="82">
        <v>1</v>
      </c>
      <c r="H749" s="85"/>
      <c r="I749" s="86">
        <v>1015.75</v>
      </c>
      <c r="J749" s="185">
        <f t="shared" si="97"/>
        <v>1156.53</v>
      </c>
      <c r="K749" s="189">
        <f t="shared" si="95"/>
        <v>1156.53</v>
      </c>
      <c r="L749" s="189"/>
      <c r="M749" s="138"/>
      <c r="N749" s="138"/>
      <c r="O749" s="138"/>
      <c r="S749" s="72"/>
      <c r="T749" s="72"/>
      <c r="U749" s="72"/>
      <c r="V749" s="72"/>
    </row>
    <row r="750" spans="1:22" s="63" customFormat="1" ht="22.5" x14ac:dyDescent="0.25">
      <c r="A750" s="87">
        <v>7.43</v>
      </c>
      <c r="B750" s="81" t="s">
        <v>48</v>
      </c>
      <c r="C750" s="82">
        <v>20</v>
      </c>
      <c r="D750" s="131" t="s">
        <v>697</v>
      </c>
      <c r="E750" s="83" t="s">
        <v>698</v>
      </c>
      <c r="F750" s="81" t="s">
        <v>219</v>
      </c>
      <c r="G750" s="82">
        <v>1</v>
      </c>
      <c r="H750" s="85"/>
      <c r="I750" s="86">
        <v>17334.23</v>
      </c>
      <c r="J750" s="185">
        <f t="shared" si="97"/>
        <v>19736.75</v>
      </c>
      <c r="K750" s="189">
        <f t="shared" si="95"/>
        <v>19736.75</v>
      </c>
      <c r="L750" s="189"/>
      <c r="M750" s="138"/>
      <c r="N750" s="138"/>
      <c r="O750" s="138"/>
      <c r="S750" s="72"/>
      <c r="T750" s="72"/>
      <c r="U750" s="72"/>
      <c r="V750" s="72"/>
    </row>
    <row r="751" spans="1:22" s="63" customFormat="1" ht="22.5" x14ac:dyDescent="0.25">
      <c r="A751" s="87">
        <v>7.44</v>
      </c>
      <c r="B751" s="81" t="s">
        <v>48</v>
      </c>
      <c r="C751" s="82">
        <v>21</v>
      </c>
      <c r="D751" s="131" t="s">
        <v>783</v>
      </c>
      <c r="E751" s="83" t="s">
        <v>784</v>
      </c>
      <c r="F751" s="81" t="s">
        <v>219</v>
      </c>
      <c r="G751" s="82">
        <v>1</v>
      </c>
      <c r="H751" s="85"/>
      <c r="I751" s="86">
        <v>3276.2</v>
      </c>
      <c r="J751" s="185">
        <f t="shared" si="97"/>
        <v>3730.28</v>
      </c>
      <c r="K751" s="189">
        <f t="shared" si="95"/>
        <v>3730.28</v>
      </c>
      <c r="L751" s="189"/>
      <c r="M751" s="138"/>
      <c r="N751" s="138"/>
      <c r="O751" s="138"/>
      <c r="S751" s="72"/>
      <c r="T751" s="72"/>
      <c r="U751" s="72"/>
      <c r="V751" s="72"/>
    </row>
    <row r="752" spans="1:22" s="63" customFormat="1" ht="33.75" x14ac:dyDescent="0.25">
      <c r="A752" s="101">
        <v>7.45</v>
      </c>
      <c r="B752" s="102" t="s">
        <v>48</v>
      </c>
      <c r="C752" s="103">
        <v>21.1</v>
      </c>
      <c r="D752" s="167" t="s">
        <v>785</v>
      </c>
      <c r="E752" s="104" t="s">
        <v>3493</v>
      </c>
      <c r="F752" s="102" t="s">
        <v>219</v>
      </c>
      <c r="G752" s="105">
        <v>1</v>
      </c>
      <c r="H752" s="106"/>
      <c r="I752" s="107">
        <v>177921.43</v>
      </c>
      <c r="J752" s="192">
        <f>ROUND($I752/$G752*$N$12,2)</f>
        <v>199005.12</v>
      </c>
      <c r="K752" s="193">
        <f t="shared" si="95"/>
        <v>199005.12</v>
      </c>
      <c r="L752" s="193"/>
      <c r="M752" s="138"/>
      <c r="N752" s="138"/>
      <c r="O752" s="138"/>
      <c r="S752" s="72"/>
      <c r="T752" s="72"/>
      <c r="U752" s="72"/>
      <c r="V752" s="72"/>
    </row>
    <row r="753" spans="1:22" s="63" customFormat="1" ht="22.5" x14ac:dyDescent="0.25">
      <c r="A753" s="87">
        <v>7.46</v>
      </c>
      <c r="B753" s="81" t="s">
        <v>48</v>
      </c>
      <c r="C753" s="80">
        <v>21.2</v>
      </c>
      <c r="D753" s="131" t="s">
        <v>755</v>
      </c>
      <c r="E753" s="83" t="s">
        <v>756</v>
      </c>
      <c r="F753" s="81" t="s">
        <v>219</v>
      </c>
      <c r="G753" s="81">
        <v>0</v>
      </c>
      <c r="H753" s="85"/>
      <c r="I753" s="86"/>
      <c r="J753" s="185"/>
      <c r="K753" s="189"/>
      <c r="L753" s="189"/>
      <c r="M753" s="138"/>
      <c r="N753" s="138"/>
      <c r="O753" s="138"/>
      <c r="S753" s="72"/>
      <c r="T753" s="72"/>
      <c r="U753" s="72"/>
      <c r="V753" s="72"/>
    </row>
    <row r="754" spans="1:22" s="128" customFormat="1" ht="12.75" x14ac:dyDescent="0.25">
      <c r="A754" s="237"/>
      <c r="B754" s="125"/>
      <c r="C754" s="236"/>
      <c r="D754" s="77"/>
      <c r="E754" s="126" t="s">
        <v>3276</v>
      </c>
      <c r="F754" s="125"/>
      <c r="G754" s="125"/>
      <c r="H754" s="127"/>
      <c r="I754" s="78"/>
      <c r="J754" s="238"/>
      <c r="K754" s="239"/>
      <c r="L754" s="239"/>
      <c r="M754" s="79"/>
      <c r="N754" s="79"/>
      <c r="O754" s="79"/>
      <c r="S754" s="129"/>
      <c r="T754" s="129"/>
      <c r="U754" s="129"/>
      <c r="V754" s="129"/>
    </row>
    <row r="755" spans="1:22" s="63" customFormat="1" ht="22.5" x14ac:dyDescent="0.25">
      <c r="A755" s="87">
        <v>7.47</v>
      </c>
      <c r="B755" s="81" t="s">
        <v>48</v>
      </c>
      <c r="C755" s="82">
        <v>22</v>
      </c>
      <c r="D755" s="131" t="s">
        <v>786</v>
      </c>
      <c r="E755" s="83" t="s">
        <v>787</v>
      </c>
      <c r="F755" s="81" t="s">
        <v>354</v>
      </c>
      <c r="G755" s="80">
        <v>0.3</v>
      </c>
      <c r="H755" s="85"/>
      <c r="I755" s="86">
        <v>24905.81</v>
      </c>
      <c r="J755" s="185">
        <f t="shared" ref="J755:J793" si="98">ROUND($I755/$G755*$N$11,2)</f>
        <v>94525.85</v>
      </c>
      <c r="K755" s="189">
        <f t="shared" ref="K755:K793" si="99">ROUND(G755*J755,2)</f>
        <v>28357.759999999998</v>
      </c>
      <c r="L755" s="189"/>
      <c r="M755" s="138"/>
      <c r="N755" s="138"/>
      <c r="O755" s="138"/>
      <c r="S755" s="72"/>
      <c r="T755" s="72"/>
      <c r="U755" s="72"/>
      <c r="V755" s="72"/>
    </row>
    <row r="756" spans="1:22" s="63" customFormat="1" ht="22.5" x14ac:dyDescent="0.25">
      <c r="A756" s="87">
        <v>7.48</v>
      </c>
      <c r="B756" s="81" t="s">
        <v>48</v>
      </c>
      <c r="C756" s="82">
        <v>23</v>
      </c>
      <c r="D756" s="131" t="s">
        <v>788</v>
      </c>
      <c r="E756" s="83" t="s">
        <v>789</v>
      </c>
      <c r="F756" s="81" t="s">
        <v>354</v>
      </c>
      <c r="G756" s="87">
        <v>0.38</v>
      </c>
      <c r="H756" s="85"/>
      <c r="I756" s="86">
        <v>28193.69</v>
      </c>
      <c r="J756" s="185">
        <f t="shared" si="98"/>
        <v>84477.2</v>
      </c>
      <c r="K756" s="189">
        <f t="shared" si="99"/>
        <v>32101.34</v>
      </c>
      <c r="L756" s="189"/>
      <c r="M756" s="138"/>
      <c r="N756" s="138"/>
      <c r="O756" s="138"/>
      <c r="S756" s="72"/>
      <c r="T756" s="72"/>
      <c r="U756" s="72"/>
      <c r="V756" s="72"/>
    </row>
    <row r="757" spans="1:22" s="63" customFormat="1" ht="22.5" x14ac:dyDescent="0.25">
      <c r="A757" s="87">
        <v>7.49</v>
      </c>
      <c r="B757" s="81" t="s">
        <v>48</v>
      </c>
      <c r="C757" s="80">
        <v>23.1</v>
      </c>
      <c r="D757" s="131" t="s">
        <v>790</v>
      </c>
      <c r="E757" s="83" t="s">
        <v>3494</v>
      </c>
      <c r="F757" s="81" t="s">
        <v>334</v>
      </c>
      <c r="G757" s="84">
        <v>38.341999999999999</v>
      </c>
      <c r="H757" s="85"/>
      <c r="I757" s="86">
        <v>25816.11</v>
      </c>
      <c r="J757" s="185">
        <f t="shared" si="98"/>
        <v>766.63</v>
      </c>
      <c r="K757" s="189">
        <f t="shared" si="99"/>
        <v>29394.13</v>
      </c>
      <c r="L757" s="189"/>
      <c r="M757" s="138"/>
      <c r="N757" s="138"/>
      <c r="O757" s="138"/>
      <c r="S757" s="72"/>
      <c r="T757" s="72"/>
      <c r="U757" s="72"/>
      <c r="V757" s="72"/>
    </row>
    <row r="758" spans="1:22" s="63" customFormat="1" ht="22.5" x14ac:dyDescent="0.25">
      <c r="A758" s="87">
        <v>7.5</v>
      </c>
      <c r="B758" s="81" t="s">
        <v>48</v>
      </c>
      <c r="C758" s="82">
        <v>24</v>
      </c>
      <c r="D758" s="131" t="s">
        <v>791</v>
      </c>
      <c r="E758" s="83" t="s">
        <v>792</v>
      </c>
      <c r="F758" s="81" t="s">
        <v>354</v>
      </c>
      <c r="G758" s="87">
        <v>0.45</v>
      </c>
      <c r="H758" s="85"/>
      <c r="I758" s="86">
        <v>38290.519999999997</v>
      </c>
      <c r="J758" s="185">
        <f t="shared" si="98"/>
        <v>96883.520000000004</v>
      </c>
      <c r="K758" s="189">
        <f t="shared" si="99"/>
        <v>43597.58</v>
      </c>
      <c r="L758" s="189"/>
      <c r="M758" s="138"/>
      <c r="N758" s="138"/>
      <c r="O758" s="138"/>
      <c r="S758" s="72"/>
      <c r="T758" s="72"/>
      <c r="U758" s="72"/>
      <c r="V758" s="72"/>
    </row>
    <row r="759" spans="1:22" s="63" customFormat="1" ht="22.5" x14ac:dyDescent="0.25">
      <c r="A759" s="87">
        <v>7.51</v>
      </c>
      <c r="B759" s="81" t="s">
        <v>48</v>
      </c>
      <c r="C759" s="80">
        <v>24.1</v>
      </c>
      <c r="D759" s="131" t="s">
        <v>793</v>
      </c>
      <c r="E759" s="83" t="s">
        <v>3495</v>
      </c>
      <c r="F759" s="81" t="s">
        <v>334</v>
      </c>
      <c r="G759" s="84">
        <v>45.554000000000002</v>
      </c>
      <c r="H759" s="85"/>
      <c r="I759" s="86">
        <v>18219.45</v>
      </c>
      <c r="J759" s="185">
        <f t="shared" si="98"/>
        <v>455.39</v>
      </c>
      <c r="K759" s="189">
        <f t="shared" si="99"/>
        <v>20744.84</v>
      </c>
      <c r="L759" s="189"/>
      <c r="M759" s="138"/>
      <c r="N759" s="138"/>
      <c r="O759" s="138"/>
      <c r="S759" s="72"/>
      <c r="T759" s="72"/>
      <c r="U759" s="72"/>
      <c r="V759" s="72"/>
    </row>
    <row r="760" spans="1:22" s="63" customFormat="1" ht="22.5" x14ac:dyDescent="0.25">
      <c r="A760" s="87">
        <v>7.52</v>
      </c>
      <c r="B760" s="81" t="s">
        <v>48</v>
      </c>
      <c r="C760" s="80">
        <v>24.2</v>
      </c>
      <c r="D760" s="131" t="s">
        <v>794</v>
      </c>
      <c r="E760" s="83" t="s">
        <v>3496</v>
      </c>
      <c r="F760" s="81" t="s">
        <v>334</v>
      </c>
      <c r="G760" s="87">
        <v>30.21</v>
      </c>
      <c r="H760" s="85"/>
      <c r="I760" s="86">
        <v>30463.200000000001</v>
      </c>
      <c r="J760" s="185">
        <f t="shared" si="98"/>
        <v>1148.1400000000001</v>
      </c>
      <c r="K760" s="189">
        <f t="shared" si="99"/>
        <v>34685.31</v>
      </c>
      <c r="L760" s="189"/>
      <c r="M760" s="138"/>
      <c r="N760" s="138"/>
      <c r="O760" s="138"/>
      <c r="S760" s="72"/>
      <c r="T760" s="72"/>
      <c r="U760" s="72"/>
      <c r="V760" s="72"/>
    </row>
    <row r="761" spans="1:22" s="63" customFormat="1" ht="22.5" x14ac:dyDescent="0.25">
      <c r="A761" s="87">
        <v>7.53</v>
      </c>
      <c r="B761" s="81" t="s">
        <v>48</v>
      </c>
      <c r="C761" s="82">
        <v>25</v>
      </c>
      <c r="D761" s="131" t="s">
        <v>795</v>
      </c>
      <c r="E761" s="83" t="s">
        <v>796</v>
      </c>
      <c r="F761" s="81" t="s">
        <v>354</v>
      </c>
      <c r="G761" s="80">
        <v>1.8</v>
      </c>
      <c r="H761" s="85"/>
      <c r="I761" s="86">
        <v>170670.07999999999</v>
      </c>
      <c r="J761" s="185">
        <f t="shared" si="98"/>
        <v>107958.31</v>
      </c>
      <c r="K761" s="189">
        <f t="shared" si="99"/>
        <v>194324.96</v>
      </c>
      <c r="L761" s="189"/>
      <c r="M761" s="138"/>
      <c r="N761" s="138"/>
      <c r="O761" s="138"/>
      <c r="S761" s="72"/>
      <c r="T761" s="72"/>
      <c r="U761" s="72"/>
      <c r="V761" s="72"/>
    </row>
    <row r="762" spans="1:22" s="63" customFormat="1" ht="22.5" x14ac:dyDescent="0.25">
      <c r="A762" s="87">
        <v>7.54</v>
      </c>
      <c r="B762" s="81" t="s">
        <v>48</v>
      </c>
      <c r="C762" s="80">
        <v>25.1</v>
      </c>
      <c r="D762" s="131" t="s">
        <v>797</v>
      </c>
      <c r="E762" s="83" t="s">
        <v>3497</v>
      </c>
      <c r="F762" s="81" t="s">
        <v>334</v>
      </c>
      <c r="G762" s="82">
        <v>182</v>
      </c>
      <c r="H762" s="85"/>
      <c r="I762" s="86">
        <v>50527.47</v>
      </c>
      <c r="J762" s="185">
        <f t="shared" si="98"/>
        <v>316.10000000000002</v>
      </c>
      <c r="K762" s="189">
        <f t="shared" si="99"/>
        <v>57530.2</v>
      </c>
      <c r="L762" s="189"/>
      <c r="M762" s="138"/>
      <c r="N762" s="138"/>
      <c r="O762" s="138"/>
      <c r="S762" s="72"/>
      <c r="T762" s="72"/>
      <c r="U762" s="72"/>
      <c r="V762" s="72"/>
    </row>
    <row r="763" spans="1:22" s="63" customFormat="1" ht="22.5" x14ac:dyDescent="0.25">
      <c r="A763" s="87">
        <v>7.55</v>
      </c>
      <c r="B763" s="81" t="s">
        <v>48</v>
      </c>
      <c r="C763" s="82">
        <v>26</v>
      </c>
      <c r="D763" s="131" t="s">
        <v>798</v>
      </c>
      <c r="E763" s="83" t="s">
        <v>799</v>
      </c>
      <c r="F763" s="81" t="s">
        <v>354</v>
      </c>
      <c r="G763" s="87">
        <v>0.18</v>
      </c>
      <c r="H763" s="85"/>
      <c r="I763" s="86">
        <v>18005.189999999999</v>
      </c>
      <c r="J763" s="185">
        <f t="shared" si="98"/>
        <v>113892.83</v>
      </c>
      <c r="K763" s="189">
        <f t="shared" si="99"/>
        <v>20500.71</v>
      </c>
      <c r="L763" s="189"/>
      <c r="M763" s="138"/>
      <c r="N763" s="138"/>
      <c r="O763" s="138"/>
      <c r="S763" s="72"/>
      <c r="T763" s="72"/>
      <c r="U763" s="72"/>
      <c r="V763" s="72"/>
    </row>
    <row r="764" spans="1:22" s="63" customFormat="1" ht="22.5" x14ac:dyDescent="0.25">
      <c r="A764" s="87">
        <v>7.56</v>
      </c>
      <c r="B764" s="81" t="s">
        <v>48</v>
      </c>
      <c r="C764" s="80">
        <v>26.1</v>
      </c>
      <c r="D764" s="131" t="s">
        <v>800</v>
      </c>
      <c r="E764" s="83" t="s">
        <v>3498</v>
      </c>
      <c r="F764" s="81" t="s">
        <v>334</v>
      </c>
      <c r="G764" s="87">
        <v>18.440000000000001</v>
      </c>
      <c r="H764" s="85"/>
      <c r="I764" s="86">
        <v>3373.69</v>
      </c>
      <c r="J764" s="185">
        <f t="shared" si="98"/>
        <v>208.31</v>
      </c>
      <c r="K764" s="189">
        <f t="shared" si="99"/>
        <v>3841.24</v>
      </c>
      <c r="L764" s="189"/>
      <c r="M764" s="138"/>
      <c r="N764" s="138"/>
      <c r="O764" s="138"/>
      <c r="S764" s="72"/>
      <c r="T764" s="72"/>
      <c r="U764" s="72"/>
      <c r="V764" s="72"/>
    </row>
    <row r="765" spans="1:22" s="63" customFormat="1" ht="22.5" x14ac:dyDescent="0.25">
      <c r="A765" s="87">
        <v>7.57</v>
      </c>
      <c r="B765" s="81" t="s">
        <v>48</v>
      </c>
      <c r="C765" s="82">
        <v>27</v>
      </c>
      <c r="D765" s="131" t="s">
        <v>801</v>
      </c>
      <c r="E765" s="83" t="s">
        <v>802</v>
      </c>
      <c r="F765" s="81" t="s">
        <v>354</v>
      </c>
      <c r="G765" s="87">
        <v>0.83</v>
      </c>
      <c r="H765" s="85"/>
      <c r="I765" s="86">
        <v>99081.1</v>
      </c>
      <c r="J765" s="185">
        <f t="shared" si="98"/>
        <v>135920.17000000001</v>
      </c>
      <c r="K765" s="189">
        <f t="shared" si="99"/>
        <v>112813.74</v>
      </c>
      <c r="L765" s="189"/>
      <c r="M765" s="138"/>
      <c r="N765" s="138"/>
      <c r="O765" s="138"/>
      <c r="S765" s="72"/>
      <c r="T765" s="72"/>
      <c r="U765" s="72"/>
      <c r="V765" s="72"/>
    </row>
    <row r="766" spans="1:22" s="63" customFormat="1" ht="22.5" x14ac:dyDescent="0.25">
      <c r="A766" s="87">
        <v>7.58</v>
      </c>
      <c r="B766" s="81" t="s">
        <v>48</v>
      </c>
      <c r="C766" s="80">
        <v>27.1</v>
      </c>
      <c r="D766" s="131" t="s">
        <v>803</v>
      </c>
      <c r="E766" s="83" t="s">
        <v>3499</v>
      </c>
      <c r="F766" s="81" t="s">
        <v>334</v>
      </c>
      <c r="G766" s="87">
        <v>83.42</v>
      </c>
      <c r="H766" s="85"/>
      <c r="I766" s="86">
        <v>10559.47</v>
      </c>
      <c r="J766" s="185">
        <f t="shared" si="98"/>
        <v>144.13</v>
      </c>
      <c r="K766" s="189">
        <f t="shared" si="99"/>
        <v>12023.32</v>
      </c>
      <c r="L766" s="189"/>
      <c r="M766" s="138"/>
      <c r="N766" s="138"/>
      <c r="O766" s="138"/>
      <c r="S766" s="72"/>
      <c r="T766" s="72"/>
      <c r="U766" s="72"/>
      <c r="V766" s="72"/>
    </row>
    <row r="767" spans="1:22" s="63" customFormat="1" ht="22.5" x14ac:dyDescent="0.25">
      <c r="A767" s="87">
        <v>7.59</v>
      </c>
      <c r="B767" s="81" t="s">
        <v>48</v>
      </c>
      <c r="C767" s="82">
        <v>28</v>
      </c>
      <c r="D767" s="131" t="s">
        <v>691</v>
      </c>
      <c r="E767" s="83" t="s">
        <v>692</v>
      </c>
      <c r="F767" s="81" t="s">
        <v>354</v>
      </c>
      <c r="G767" s="87">
        <v>0.18</v>
      </c>
      <c r="H767" s="85"/>
      <c r="I767" s="86">
        <v>28803.3</v>
      </c>
      <c r="J767" s="185">
        <f t="shared" si="98"/>
        <v>182196.87</v>
      </c>
      <c r="K767" s="189">
        <f t="shared" si="99"/>
        <v>32795.440000000002</v>
      </c>
      <c r="L767" s="189"/>
      <c r="M767" s="138"/>
      <c r="N767" s="138"/>
      <c r="O767" s="138"/>
      <c r="S767" s="72"/>
      <c r="T767" s="72"/>
      <c r="U767" s="72"/>
      <c r="V767" s="72"/>
    </row>
    <row r="768" spans="1:22" s="63" customFormat="1" ht="22.5" x14ac:dyDescent="0.25">
      <c r="A768" s="87">
        <v>7.6</v>
      </c>
      <c r="B768" s="81" t="s">
        <v>48</v>
      </c>
      <c r="C768" s="80">
        <v>28.1</v>
      </c>
      <c r="D768" s="131" t="s">
        <v>693</v>
      </c>
      <c r="E768" s="83" t="s">
        <v>694</v>
      </c>
      <c r="F768" s="81" t="s">
        <v>334</v>
      </c>
      <c r="G768" s="87">
        <v>16.88</v>
      </c>
      <c r="H768" s="85"/>
      <c r="I768" s="86">
        <v>3063.87</v>
      </c>
      <c r="J768" s="185">
        <f t="shared" si="98"/>
        <v>206.67</v>
      </c>
      <c r="K768" s="189">
        <f t="shared" si="99"/>
        <v>3488.59</v>
      </c>
      <c r="L768" s="189"/>
      <c r="M768" s="138"/>
      <c r="N768" s="138"/>
      <c r="O768" s="138"/>
      <c r="S768" s="72"/>
      <c r="T768" s="72"/>
      <c r="U768" s="72"/>
      <c r="V768" s="72"/>
    </row>
    <row r="769" spans="1:22" s="63" customFormat="1" ht="22.5" x14ac:dyDescent="0.25">
      <c r="A769" s="87">
        <v>7.61</v>
      </c>
      <c r="B769" s="81" t="s">
        <v>48</v>
      </c>
      <c r="C769" s="80">
        <v>28.2</v>
      </c>
      <c r="D769" s="131" t="s">
        <v>804</v>
      </c>
      <c r="E769" s="83" t="s">
        <v>805</v>
      </c>
      <c r="F769" s="81" t="s">
        <v>566</v>
      </c>
      <c r="G769" s="87">
        <v>2.25</v>
      </c>
      <c r="H769" s="85"/>
      <c r="I769" s="86">
        <v>2769.23</v>
      </c>
      <c r="J769" s="185">
        <f t="shared" si="98"/>
        <v>1401.35</v>
      </c>
      <c r="K769" s="189">
        <f t="shared" si="99"/>
        <v>3153.04</v>
      </c>
      <c r="L769" s="189"/>
      <c r="M769" s="138"/>
      <c r="N769" s="138"/>
      <c r="O769" s="138"/>
      <c r="S769" s="72"/>
      <c r="T769" s="72"/>
      <c r="U769" s="72"/>
      <c r="V769" s="72"/>
    </row>
    <row r="770" spans="1:22" s="63" customFormat="1" ht="15" x14ac:dyDescent="0.25">
      <c r="A770" s="87">
        <v>7.62</v>
      </c>
      <c r="B770" s="81" t="s">
        <v>48</v>
      </c>
      <c r="C770" s="82">
        <v>29</v>
      </c>
      <c r="D770" s="131" t="s">
        <v>741</v>
      </c>
      <c r="E770" s="83" t="s">
        <v>742</v>
      </c>
      <c r="F770" s="81" t="s">
        <v>219</v>
      </c>
      <c r="G770" s="82">
        <v>1</v>
      </c>
      <c r="H770" s="85"/>
      <c r="I770" s="86">
        <v>1235.29</v>
      </c>
      <c r="J770" s="185">
        <f t="shared" si="98"/>
        <v>1406.5</v>
      </c>
      <c r="K770" s="189">
        <f t="shared" si="99"/>
        <v>1406.5</v>
      </c>
      <c r="L770" s="189"/>
      <c r="M770" s="138"/>
      <c r="N770" s="138"/>
      <c r="O770" s="138"/>
      <c r="S770" s="72"/>
      <c r="T770" s="72"/>
      <c r="U770" s="72"/>
      <c r="V770" s="72"/>
    </row>
    <row r="771" spans="1:22" s="63" customFormat="1" ht="22.5" x14ac:dyDescent="0.25">
      <c r="A771" s="87">
        <v>7.63</v>
      </c>
      <c r="B771" s="81" t="s">
        <v>48</v>
      </c>
      <c r="C771" s="80">
        <v>29.1</v>
      </c>
      <c r="D771" s="131" t="s">
        <v>806</v>
      </c>
      <c r="E771" s="83" t="s">
        <v>807</v>
      </c>
      <c r="F771" s="81" t="s">
        <v>219</v>
      </c>
      <c r="G771" s="82">
        <v>1</v>
      </c>
      <c r="H771" s="85"/>
      <c r="I771" s="86">
        <v>2158.11</v>
      </c>
      <c r="J771" s="185">
        <f t="shared" si="98"/>
        <v>2457.2199999999998</v>
      </c>
      <c r="K771" s="189">
        <f t="shared" si="99"/>
        <v>2457.2199999999998</v>
      </c>
      <c r="L771" s="189"/>
      <c r="M771" s="138"/>
      <c r="N771" s="138"/>
      <c r="O771" s="138"/>
      <c r="S771" s="72"/>
      <c r="T771" s="72"/>
      <c r="U771" s="72"/>
      <c r="V771" s="72"/>
    </row>
    <row r="772" spans="1:22" s="63" customFormat="1" ht="22.5" x14ac:dyDescent="0.25">
      <c r="A772" s="87">
        <v>7.64</v>
      </c>
      <c r="B772" s="81" t="s">
        <v>48</v>
      </c>
      <c r="C772" s="80">
        <v>29.2</v>
      </c>
      <c r="D772" s="131" t="s">
        <v>747</v>
      </c>
      <c r="E772" s="83" t="s">
        <v>748</v>
      </c>
      <c r="F772" s="81" t="s">
        <v>219</v>
      </c>
      <c r="G772" s="82">
        <v>1</v>
      </c>
      <c r="H772" s="85"/>
      <c r="I772" s="86">
        <v>955.84</v>
      </c>
      <c r="J772" s="185">
        <f t="shared" si="98"/>
        <v>1088.32</v>
      </c>
      <c r="K772" s="189">
        <f t="shared" si="99"/>
        <v>1088.32</v>
      </c>
      <c r="L772" s="189"/>
      <c r="M772" s="138"/>
      <c r="N772" s="138"/>
      <c r="O772" s="138"/>
      <c r="S772" s="72"/>
      <c r="T772" s="72"/>
      <c r="U772" s="72"/>
      <c r="V772" s="72"/>
    </row>
    <row r="773" spans="1:22" s="63" customFormat="1" ht="22.5" x14ac:dyDescent="0.25">
      <c r="A773" s="87">
        <v>7.65</v>
      </c>
      <c r="B773" s="81" t="s">
        <v>48</v>
      </c>
      <c r="C773" s="80">
        <v>29.3</v>
      </c>
      <c r="D773" s="131" t="s">
        <v>808</v>
      </c>
      <c r="E773" s="83" t="s">
        <v>809</v>
      </c>
      <c r="F773" s="81" t="s">
        <v>219</v>
      </c>
      <c r="G773" s="82">
        <v>10</v>
      </c>
      <c r="H773" s="85"/>
      <c r="I773" s="86">
        <v>5279.16</v>
      </c>
      <c r="J773" s="185">
        <f t="shared" si="98"/>
        <v>601.09</v>
      </c>
      <c r="K773" s="189">
        <f t="shared" si="99"/>
        <v>6010.9</v>
      </c>
      <c r="L773" s="189"/>
      <c r="M773" s="138"/>
      <c r="N773" s="138"/>
      <c r="O773" s="138"/>
      <c r="S773" s="72"/>
      <c r="T773" s="72"/>
      <c r="U773" s="72"/>
      <c r="V773" s="72"/>
    </row>
    <row r="774" spans="1:22" s="63" customFormat="1" ht="22.5" x14ac:dyDescent="0.25">
      <c r="A774" s="87">
        <v>7.66</v>
      </c>
      <c r="B774" s="81" t="s">
        <v>48</v>
      </c>
      <c r="C774" s="80">
        <v>29.4</v>
      </c>
      <c r="D774" s="131" t="s">
        <v>810</v>
      </c>
      <c r="E774" s="83" t="s">
        <v>811</v>
      </c>
      <c r="F774" s="81" t="s">
        <v>219</v>
      </c>
      <c r="G774" s="82">
        <v>16</v>
      </c>
      <c r="H774" s="85"/>
      <c r="I774" s="86">
        <v>6034.14</v>
      </c>
      <c r="J774" s="185">
        <f t="shared" si="98"/>
        <v>429.4</v>
      </c>
      <c r="K774" s="189">
        <f t="shared" si="99"/>
        <v>6870.4</v>
      </c>
      <c r="L774" s="189"/>
      <c r="M774" s="138"/>
      <c r="N774" s="138"/>
      <c r="O774" s="138"/>
      <c r="S774" s="72"/>
      <c r="T774" s="72"/>
      <c r="U774" s="72"/>
      <c r="V774" s="72"/>
    </row>
    <row r="775" spans="1:22" s="63" customFormat="1" ht="22.5" x14ac:dyDescent="0.25">
      <c r="A775" s="87">
        <v>7.67</v>
      </c>
      <c r="B775" s="81" t="s">
        <v>48</v>
      </c>
      <c r="C775" s="80">
        <v>29.5</v>
      </c>
      <c r="D775" s="131" t="s">
        <v>812</v>
      </c>
      <c r="E775" s="83" t="s">
        <v>813</v>
      </c>
      <c r="F775" s="81" t="s">
        <v>219</v>
      </c>
      <c r="G775" s="82">
        <v>2</v>
      </c>
      <c r="H775" s="85"/>
      <c r="I775" s="86">
        <v>632.97</v>
      </c>
      <c r="J775" s="185">
        <f t="shared" si="98"/>
        <v>360.35</v>
      </c>
      <c r="K775" s="189">
        <f t="shared" si="99"/>
        <v>720.7</v>
      </c>
      <c r="L775" s="189"/>
      <c r="M775" s="138"/>
      <c r="N775" s="138"/>
      <c r="O775" s="138"/>
      <c r="S775" s="72"/>
      <c r="T775" s="72"/>
      <c r="U775" s="72"/>
      <c r="V775" s="72"/>
    </row>
    <row r="776" spans="1:22" s="63" customFormat="1" ht="22.5" x14ac:dyDescent="0.25">
      <c r="A776" s="87">
        <v>7.68</v>
      </c>
      <c r="B776" s="81" t="s">
        <v>48</v>
      </c>
      <c r="C776" s="80">
        <v>29.6</v>
      </c>
      <c r="D776" s="131" t="s">
        <v>812</v>
      </c>
      <c r="E776" s="83" t="s">
        <v>814</v>
      </c>
      <c r="F776" s="81" t="s">
        <v>219</v>
      </c>
      <c r="G776" s="82">
        <v>15</v>
      </c>
      <c r="H776" s="85"/>
      <c r="I776" s="86">
        <v>4747.25</v>
      </c>
      <c r="J776" s="185">
        <f t="shared" si="98"/>
        <v>360.35</v>
      </c>
      <c r="K776" s="189">
        <f t="shared" si="99"/>
        <v>5405.25</v>
      </c>
      <c r="L776" s="189"/>
      <c r="M776" s="138"/>
      <c r="N776" s="138"/>
      <c r="O776" s="138"/>
      <c r="S776" s="72"/>
      <c r="T776" s="72"/>
      <c r="U776" s="72"/>
      <c r="V776" s="72"/>
    </row>
    <row r="777" spans="1:22" s="63" customFormat="1" ht="22.5" x14ac:dyDescent="0.25">
      <c r="A777" s="87">
        <v>7.69</v>
      </c>
      <c r="B777" s="81" t="s">
        <v>48</v>
      </c>
      <c r="C777" s="80">
        <v>29.7</v>
      </c>
      <c r="D777" s="131" t="s">
        <v>815</v>
      </c>
      <c r="E777" s="83" t="s">
        <v>816</v>
      </c>
      <c r="F777" s="81" t="s">
        <v>219</v>
      </c>
      <c r="G777" s="82">
        <v>43</v>
      </c>
      <c r="H777" s="85"/>
      <c r="I777" s="86">
        <v>11596.48</v>
      </c>
      <c r="J777" s="185">
        <f t="shared" si="98"/>
        <v>307.06</v>
      </c>
      <c r="K777" s="189">
        <f t="shared" si="99"/>
        <v>13203.58</v>
      </c>
      <c r="L777" s="189"/>
      <c r="M777" s="138"/>
      <c r="N777" s="138"/>
      <c r="O777" s="138"/>
      <c r="S777" s="72"/>
      <c r="T777" s="72"/>
      <c r="U777" s="72"/>
      <c r="V777" s="72"/>
    </row>
    <row r="778" spans="1:22" s="63" customFormat="1" ht="22.5" x14ac:dyDescent="0.25">
      <c r="A778" s="87">
        <v>7.7</v>
      </c>
      <c r="B778" s="81" t="s">
        <v>48</v>
      </c>
      <c r="C778" s="80">
        <v>29.8</v>
      </c>
      <c r="D778" s="131" t="s">
        <v>817</v>
      </c>
      <c r="E778" s="83" t="s">
        <v>818</v>
      </c>
      <c r="F778" s="81" t="s">
        <v>219</v>
      </c>
      <c r="G778" s="82">
        <v>14</v>
      </c>
      <c r="H778" s="85"/>
      <c r="I778" s="86">
        <v>137510.35</v>
      </c>
      <c r="J778" s="185">
        <f t="shared" si="98"/>
        <v>11183.52</v>
      </c>
      <c r="K778" s="189">
        <f t="shared" si="99"/>
        <v>156569.28</v>
      </c>
      <c r="L778" s="189"/>
      <c r="M778" s="138"/>
      <c r="N778" s="138"/>
      <c r="O778" s="138"/>
      <c r="S778" s="72"/>
      <c r="T778" s="72"/>
      <c r="U778" s="72"/>
      <c r="V778" s="72"/>
    </row>
    <row r="779" spans="1:22" s="63" customFormat="1" ht="22.5" x14ac:dyDescent="0.25">
      <c r="A779" s="87">
        <v>7.71</v>
      </c>
      <c r="B779" s="81" t="s">
        <v>48</v>
      </c>
      <c r="C779" s="82">
        <v>30</v>
      </c>
      <c r="D779" s="131" t="s">
        <v>770</v>
      </c>
      <c r="E779" s="83" t="s">
        <v>771</v>
      </c>
      <c r="F779" s="81" t="s">
        <v>772</v>
      </c>
      <c r="G779" s="80">
        <v>39.4</v>
      </c>
      <c r="H779" s="85"/>
      <c r="I779" s="86">
        <v>184853.75</v>
      </c>
      <c r="J779" s="185">
        <f t="shared" si="98"/>
        <v>5341.99</v>
      </c>
      <c r="K779" s="189">
        <f t="shared" si="99"/>
        <v>210474.41</v>
      </c>
      <c r="L779" s="189"/>
      <c r="M779" s="138"/>
      <c r="N779" s="138"/>
      <c r="O779" s="138"/>
      <c r="S779" s="72"/>
      <c r="T779" s="72"/>
      <c r="U779" s="72"/>
      <c r="V779" s="72"/>
    </row>
    <row r="780" spans="1:22" s="63" customFormat="1" ht="22.5" x14ac:dyDescent="0.25">
      <c r="A780" s="87">
        <v>7.72</v>
      </c>
      <c r="B780" s="81" t="s">
        <v>48</v>
      </c>
      <c r="C780" s="80">
        <v>30.1</v>
      </c>
      <c r="D780" s="131" t="s">
        <v>819</v>
      </c>
      <c r="E780" s="83" t="s">
        <v>820</v>
      </c>
      <c r="F780" s="81" t="s">
        <v>772</v>
      </c>
      <c r="G780" s="80">
        <v>3.3</v>
      </c>
      <c r="H780" s="85"/>
      <c r="I780" s="86">
        <v>18625.62</v>
      </c>
      <c r="J780" s="185">
        <f t="shared" si="98"/>
        <v>6426.4</v>
      </c>
      <c r="K780" s="189">
        <f t="shared" si="99"/>
        <v>21207.119999999999</v>
      </c>
      <c r="L780" s="189"/>
      <c r="M780" s="138"/>
      <c r="N780" s="138"/>
      <c r="O780" s="138"/>
      <c r="S780" s="72"/>
      <c r="T780" s="72"/>
      <c r="U780" s="72"/>
      <c r="V780" s="72"/>
    </row>
    <row r="781" spans="1:22" s="63" customFormat="1" ht="22.5" x14ac:dyDescent="0.25">
      <c r="A781" s="87">
        <v>7.73</v>
      </c>
      <c r="B781" s="81" t="s">
        <v>48</v>
      </c>
      <c r="C781" s="80">
        <v>30.2</v>
      </c>
      <c r="D781" s="131" t="s">
        <v>821</v>
      </c>
      <c r="E781" s="83" t="s">
        <v>822</v>
      </c>
      <c r="F781" s="81" t="s">
        <v>772</v>
      </c>
      <c r="G781" s="87">
        <v>4.18</v>
      </c>
      <c r="H781" s="85"/>
      <c r="I781" s="86">
        <v>20971.9</v>
      </c>
      <c r="J781" s="185">
        <f t="shared" si="98"/>
        <v>5712.59</v>
      </c>
      <c r="K781" s="189">
        <f t="shared" si="99"/>
        <v>23878.63</v>
      </c>
      <c r="L781" s="189"/>
      <c r="M781" s="138"/>
      <c r="N781" s="138"/>
      <c r="O781" s="138"/>
      <c r="S781" s="72"/>
      <c r="T781" s="72"/>
      <c r="U781" s="72"/>
      <c r="V781" s="72"/>
    </row>
    <row r="782" spans="1:22" s="63" customFormat="1" ht="22.5" x14ac:dyDescent="0.25">
      <c r="A782" s="87">
        <v>7.74</v>
      </c>
      <c r="B782" s="81" t="s">
        <v>48</v>
      </c>
      <c r="C782" s="80">
        <v>30.3</v>
      </c>
      <c r="D782" s="131" t="s">
        <v>823</v>
      </c>
      <c r="E782" s="83" t="s">
        <v>824</v>
      </c>
      <c r="F782" s="81" t="s">
        <v>772</v>
      </c>
      <c r="G782" s="87">
        <v>4.95</v>
      </c>
      <c r="H782" s="85"/>
      <c r="I782" s="86">
        <v>20690.13</v>
      </c>
      <c r="J782" s="185">
        <f t="shared" si="98"/>
        <v>4759.1499999999996</v>
      </c>
      <c r="K782" s="189">
        <f t="shared" si="99"/>
        <v>23557.79</v>
      </c>
      <c r="L782" s="189"/>
      <c r="M782" s="138"/>
      <c r="N782" s="138"/>
      <c r="O782" s="138"/>
      <c r="S782" s="72"/>
      <c r="T782" s="72"/>
      <c r="U782" s="72"/>
      <c r="V782" s="72"/>
    </row>
    <row r="783" spans="1:22" s="63" customFormat="1" ht="22.5" x14ac:dyDescent="0.25">
      <c r="A783" s="87">
        <v>7.75</v>
      </c>
      <c r="B783" s="81" t="s">
        <v>48</v>
      </c>
      <c r="C783" s="80">
        <v>30.4</v>
      </c>
      <c r="D783" s="131" t="s">
        <v>825</v>
      </c>
      <c r="E783" s="83" t="s">
        <v>826</v>
      </c>
      <c r="F783" s="81" t="s">
        <v>772</v>
      </c>
      <c r="G783" s="80">
        <v>19.8</v>
      </c>
      <c r="H783" s="85"/>
      <c r="I783" s="86">
        <v>67586.75</v>
      </c>
      <c r="J783" s="185">
        <f t="shared" si="98"/>
        <v>3886.58</v>
      </c>
      <c r="K783" s="189">
        <f t="shared" si="99"/>
        <v>76954.28</v>
      </c>
      <c r="L783" s="189"/>
      <c r="M783" s="138"/>
      <c r="N783" s="138"/>
      <c r="O783" s="138"/>
      <c r="S783" s="72"/>
      <c r="T783" s="72"/>
      <c r="U783" s="72"/>
      <c r="V783" s="72"/>
    </row>
    <row r="784" spans="1:22" s="63" customFormat="1" ht="22.5" x14ac:dyDescent="0.25">
      <c r="A784" s="87">
        <v>7.76</v>
      </c>
      <c r="B784" s="81" t="s">
        <v>48</v>
      </c>
      <c r="C784" s="80">
        <v>30.5</v>
      </c>
      <c r="D784" s="131" t="s">
        <v>827</v>
      </c>
      <c r="E784" s="83" t="s">
        <v>828</v>
      </c>
      <c r="F784" s="81" t="s">
        <v>772</v>
      </c>
      <c r="G784" s="87">
        <v>1.98</v>
      </c>
      <c r="H784" s="85"/>
      <c r="I784" s="86">
        <v>5833.8</v>
      </c>
      <c r="J784" s="185">
        <f t="shared" si="98"/>
        <v>3354.73</v>
      </c>
      <c r="K784" s="189">
        <f t="shared" si="99"/>
        <v>6642.37</v>
      </c>
      <c r="L784" s="189"/>
      <c r="M784" s="138"/>
      <c r="N784" s="138"/>
      <c r="O784" s="138"/>
      <c r="S784" s="72"/>
      <c r="T784" s="72"/>
      <c r="U784" s="72"/>
      <c r="V784" s="72"/>
    </row>
    <row r="785" spans="1:22" s="63" customFormat="1" ht="22.5" x14ac:dyDescent="0.25">
      <c r="A785" s="87">
        <v>7.77</v>
      </c>
      <c r="B785" s="81" t="s">
        <v>48</v>
      </c>
      <c r="C785" s="80">
        <v>30.6</v>
      </c>
      <c r="D785" s="131" t="s">
        <v>829</v>
      </c>
      <c r="E785" s="83" t="s">
        <v>830</v>
      </c>
      <c r="F785" s="81" t="s">
        <v>772</v>
      </c>
      <c r="G785" s="87">
        <v>9.1300000000000008</v>
      </c>
      <c r="H785" s="85"/>
      <c r="I785" s="86">
        <v>23698.06</v>
      </c>
      <c r="J785" s="185">
        <f t="shared" si="98"/>
        <v>2955.38</v>
      </c>
      <c r="K785" s="189">
        <f t="shared" si="99"/>
        <v>26982.62</v>
      </c>
      <c r="L785" s="189"/>
      <c r="M785" s="138"/>
      <c r="N785" s="138"/>
      <c r="O785" s="138"/>
      <c r="S785" s="72"/>
      <c r="T785" s="72"/>
      <c r="U785" s="72"/>
      <c r="V785" s="72"/>
    </row>
    <row r="786" spans="1:22" s="63" customFormat="1" ht="15" x14ac:dyDescent="0.25">
      <c r="A786" s="87">
        <v>7.78</v>
      </c>
      <c r="B786" s="81" t="s">
        <v>48</v>
      </c>
      <c r="C786" s="82">
        <v>31</v>
      </c>
      <c r="D786" s="131" t="s">
        <v>831</v>
      </c>
      <c r="E786" s="83" t="s">
        <v>832</v>
      </c>
      <c r="F786" s="81" t="s">
        <v>219</v>
      </c>
      <c r="G786" s="82">
        <v>5</v>
      </c>
      <c r="H786" s="85"/>
      <c r="I786" s="86">
        <v>3004.74</v>
      </c>
      <c r="J786" s="185">
        <f t="shared" si="98"/>
        <v>684.24</v>
      </c>
      <c r="K786" s="189">
        <f t="shared" si="99"/>
        <v>3421.2</v>
      </c>
      <c r="L786" s="189"/>
      <c r="M786" s="138"/>
      <c r="N786" s="138"/>
      <c r="O786" s="138"/>
      <c r="S786" s="72"/>
      <c r="T786" s="72"/>
      <c r="U786" s="72"/>
      <c r="V786" s="72"/>
    </row>
    <row r="787" spans="1:22" s="63" customFormat="1" ht="22.5" x14ac:dyDescent="0.25">
      <c r="A787" s="87">
        <v>7.79</v>
      </c>
      <c r="B787" s="81" t="s">
        <v>48</v>
      </c>
      <c r="C787" s="80">
        <v>31.1</v>
      </c>
      <c r="D787" s="131" t="s">
        <v>833</v>
      </c>
      <c r="E787" s="83" t="s">
        <v>834</v>
      </c>
      <c r="F787" s="81" t="s">
        <v>334</v>
      </c>
      <c r="G787" s="82">
        <v>350</v>
      </c>
      <c r="H787" s="85"/>
      <c r="I787" s="86">
        <v>66480.12</v>
      </c>
      <c r="J787" s="185">
        <f t="shared" si="98"/>
        <v>216.27</v>
      </c>
      <c r="K787" s="189">
        <f t="shared" si="99"/>
        <v>75694.5</v>
      </c>
      <c r="L787" s="189"/>
      <c r="M787" s="138"/>
      <c r="N787" s="138"/>
      <c r="O787" s="138"/>
      <c r="S787" s="72"/>
      <c r="T787" s="72"/>
      <c r="U787" s="72"/>
      <c r="V787" s="72"/>
    </row>
    <row r="788" spans="1:22" s="63" customFormat="1" ht="15" x14ac:dyDescent="0.25">
      <c r="A788" s="87">
        <v>7.8</v>
      </c>
      <c r="B788" s="81" t="s">
        <v>48</v>
      </c>
      <c r="C788" s="82">
        <v>32</v>
      </c>
      <c r="D788" s="131" t="s">
        <v>835</v>
      </c>
      <c r="E788" s="83" t="s">
        <v>836</v>
      </c>
      <c r="F788" s="81" t="s">
        <v>837</v>
      </c>
      <c r="G788" s="82">
        <v>5</v>
      </c>
      <c r="H788" s="85"/>
      <c r="I788" s="86">
        <v>15708.04</v>
      </c>
      <c r="J788" s="185">
        <f t="shared" si="98"/>
        <v>3577.03</v>
      </c>
      <c r="K788" s="189">
        <f t="shared" si="99"/>
        <v>17885.150000000001</v>
      </c>
      <c r="L788" s="189"/>
      <c r="M788" s="138"/>
      <c r="N788" s="138"/>
      <c r="O788" s="138"/>
      <c r="S788" s="72"/>
      <c r="T788" s="72"/>
      <c r="U788" s="72"/>
      <c r="V788" s="72"/>
    </row>
    <row r="789" spans="1:22" s="63" customFormat="1" ht="22.5" x14ac:dyDescent="0.25">
      <c r="A789" s="87">
        <v>7.81</v>
      </c>
      <c r="B789" s="81" t="s">
        <v>48</v>
      </c>
      <c r="C789" s="80">
        <v>32.1</v>
      </c>
      <c r="D789" s="131" t="s">
        <v>838</v>
      </c>
      <c r="E789" s="83" t="s">
        <v>839</v>
      </c>
      <c r="F789" s="81" t="s">
        <v>219</v>
      </c>
      <c r="G789" s="82">
        <v>5</v>
      </c>
      <c r="H789" s="85"/>
      <c r="I789" s="86">
        <v>39435.64</v>
      </c>
      <c r="J789" s="185">
        <f t="shared" si="98"/>
        <v>8980.2800000000007</v>
      </c>
      <c r="K789" s="189">
        <f t="shared" si="99"/>
        <v>44901.4</v>
      </c>
      <c r="L789" s="189"/>
      <c r="M789" s="138"/>
      <c r="N789" s="138"/>
      <c r="O789" s="138"/>
      <c r="S789" s="72"/>
      <c r="T789" s="72"/>
      <c r="U789" s="72"/>
      <c r="V789" s="72"/>
    </row>
    <row r="790" spans="1:22" s="63" customFormat="1" ht="22.5" x14ac:dyDescent="0.25">
      <c r="A790" s="87">
        <v>7.82</v>
      </c>
      <c r="B790" s="81" t="s">
        <v>48</v>
      </c>
      <c r="C790" s="82">
        <v>33</v>
      </c>
      <c r="D790" s="131" t="s">
        <v>725</v>
      </c>
      <c r="E790" s="83" t="s">
        <v>726</v>
      </c>
      <c r="F790" s="81" t="s">
        <v>216</v>
      </c>
      <c r="G790" s="87">
        <v>0.05</v>
      </c>
      <c r="H790" s="85"/>
      <c r="I790" s="86">
        <v>6680.1</v>
      </c>
      <c r="J790" s="185">
        <f t="shared" si="98"/>
        <v>152119.24</v>
      </c>
      <c r="K790" s="189">
        <f t="shared" si="99"/>
        <v>7605.96</v>
      </c>
      <c r="L790" s="189"/>
      <c r="M790" s="138"/>
      <c r="N790" s="138"/>
      <c r="O790" s="138"/>
      <c r="S790" s="72"/>
      <c r="T790" s="72"/>
      <c r="U790" s="72"/>
      <c r="V790" s="72"/>
    </row>
    <row r="791" spans="1:22" s="63" customFormat="1" ht="22.5" x14ac:dyDescent="0.25">
      <c r="A791" s="87">
        <v>7.83</v>
      </c>
      <c r="B791" s="81" t="s">
        <v>48</v>
      </c>
      <c r="C791" s="80">
        <v>33.1</v>
      </c>
      <c r="D791" s="131" t="s">
        <v>840</v>
      </c>
      <c r="E791" s="83" t="s">
        <v>841</v>
      </c>
      <c r="F791" s="81" t="s">
        <v>219</v>
      </c>
      <c r="G791" s="82">
        <v>5</v>
      </c>
      <c r="H791" s="85"/>
      <c r="I791" s="86">
        <v>9145.07</v>
      </c>
      <c r="J791" s="185">
        <f t="shared" si="98"/>
        <v>2082.52</v>
      </c>
      <c r="K791" s="189">
        <f t="shared" si="99"/>
        <v>10412.6</v>
      </c>
      <c r="L791" s="189"/>
      <c r="M791" s="138"/>
      <c r="N791" s="138"/>
      <c r="O791" s="138"/>
      <c r="S791" s="72"/>
      <c r="T791" s="72"/>
      <c r="U791" s="72"/>
      <c r="V791" s="72"/>
    </row>
    <row r="792" spans="1:22" s="63" customFormat="1" ht="22.5" x14ac:dyDescent="0.25">
      <c r="A792" s="87">
        <v>7.84</v>
      </c>
      <c r="B792" s="81" t="s">
        <v>48</v>
      </c>
      <c r="C792" s="82">
        <v>34</v>
      </c>
      <c r="D792" s="131" t="s">
        <v>294</v>
      </c>
      <c r="E792" s="83" t="s">
        <v>842</v>
      </c>
      <c r="F792" s="81" t="s">
        <v>196</v>
      </c>
      <c r="G792" s="88">
        <v>1.6000000000000001E-3</v>
      </c>
      <c r="H792" s="85"/>
      <c r="I792" s="86">
        <v>321.58</v>
      </c>
      <c r="J792" s="185">
        <f t="shared" si="98"/>
        <v>228844.37</v>
      </c>
      <c r="K792" s="189">
        <f t="shared" si="99"/>
        <v>366.15</v>
      </c>
      <c r="L792" s="189"/>
      <c r="M792" s="138"/>
      <c r="N792" s="138"/>
      <c r="O792" s="138"/>
      <c r="S792" s="72"/>
      <c r="T792" s="72"/>
      <c r="U792" s="72"/>
      <c r="V792" s="72"/>
    </row>
    <row r="793" spans="1:22" s="63" customFormat="1" ht="22.5" x14ac:dyDescent="0.25">
      <c r="A793" s="87">
        <v>7.85</v>
      </c>
      <c r="B793" s="81" t="s">
        <v>48</v>
      </c>
      <c r="C793" s="80">
        <v>34.1</v>
      </c>
      <c r="D793" s="131" t="s">
        <v>296</v>
      </c>
      <c r="E793" s="83" t="s">
        <v>297</v>
      </c>
      <c r="F793" s="81" t="s">
        <v>205</v>
      </c>
      <c r="G793" s="88">
        <v>0.16320000000000001</v>
      </c>
      <c r="H793" s="85"/>
      <c r="I793" s="86">
        <v>676.74</v>
      </c>
      <c r="J793" s="185">
        <f t="shared" si="98"/>
        <v>4721.42</v>
      </c>
      <c r="K793" s="189">
        <f t="shared" si="99"/>
        <v>770.54</v>
      </c>
      <c r="L793" s="189"/>
      <c r="M793" s="138"/>
      <c r="N793" s="138"/>
      <c r="O793" s="138"/>
      <c r="S793" s="72"/>
      <c r="T793" s="72"/>
      <c r="U793" s="72"/>
      <c r="V793" s="72"/>
    </row>
    <row r="794" spans="1:22" s="128" customFormat="1" ht="12.75" x14ac:dyDescent="0.25">
      <c r="A794" s="237"/>
      <c r="B794" s="125"/>
      <c r="C794" s="236"/>
      <c r="D794" s="77"/>
      <c r="E794" s="126" t="s">
        <v>3277</v>
      </c>
      <c r="F794" s="125"/>
      <c r="G794" s="240"/>
      <c r="H794" s="127"/>
      <c r="I794" s="78"/>
      <c r="J794" s="238"/>
      <c r="K794" s="239"/>
      <c r="L794" s="239"/>
      <c r="M794" s="79"/>
      <c r="N794" s="79"/>
      <c r="O794" s="79"/>
      <c r="S794" s="129"/>
      <c r="T794" s="129"/>
      <c r="U794" s="129"/>
      <c r="V794" s="129"/>
    </row>
    <row r="795" spans="1:22" s="63" customFormat="1" ht="22.5" x14ac:dyDescent="0.25">
      <c r="A795" s="87">
        <v>7.86</v>
      </c>
      <c r="B795" s="81" t="s">
        <v>48</v>
      </c>
      <c r="C795" s="82">
        <v>35</v>
      </c>
      <c r="D795" s="131" t="s">
        <v>791</v>
      </c>
      <c r="E795" s="83" t="s">
        <v>792</v>
      </c>
      <c r="F795" s="81" t="s">
        <v>354</v>
      </c>
      <c r="G795" s="80">
        <v>0.3</v>
      </c>
      <c r="H795" s="85"/>
      <c r="I795" s="86">
        <v>25527.42</v>
      </c>
      <c r="J795" s="185">
        <f t="shared" ref="J795:J810" si="100">ROUND($I795/$G795*$N$11,2)</f>
        <v>96885.07</v>
      </c>
      <c r="K795" s="189">
        <f t="shared" ref="K795:K810" si="101">ROUND(G795*J795,2)</f>
        <v>29065.52</v>
      </c>
      <c r="L795" s="189"/>
      <c r="M795" s="138"/>
      <c r="N795" s="138"/>
      <c r="O795" s="138"/>
      <c r="S795" s="72"/>
      <c r="T795" s="72"/>
      <c r="U795" s="72"/>
      <c r="V795" s="72"/>
    </row>
    <row r="796" spans="1:22" s="63" customFormat="1" ht="22.5" x14ac:dyDescent="0.25">
      <c r="A796" s="87">
        <v>7.87</v>
      </c>
      <c r="B796" s="81" t="s">
        <v>48</v>
      </c>
      <c r="C796" s="80">
        <v>35.1</v>
      </c>
      <c r="D796" s="131" t="s">
        <v>793</v>
      </c>
      <c r="E796" s="83" t="s">
        <v>3495</v>
      </c>
      <c r="F796" s="81" t="s">
        <v>334</v>
      </c>
      <c r="G796" s="87">
        <v>30.36</v>
      </c>
      <c r="H796" s="85"/>
      <c r="I796" s="86">
        <v>12142.51</v>
      </c>
      <c r="J796" s="185">
        <f t="shared" si="100"/>
        <v>455.38</v>
      </c>
      <c r="K796" s="189">
        <f t="shared" si="101"/>
        <v>13825.34</v>
      </c>
      <c r="L796" s="189"/>
      <c r="M796" s="138"/>
      <c r="N796" s="138"/>
      <c r="O796" s="138"/>
      <c r="S796" s="72"/>
      <c r="T796" s="72"/>
      <c r="U796" s="72"/>
      <c r="V796" s="72"/>
    </row>
    <row r="797" spans="1:22" s="63" customFormat="1" ht="22.5" x14ac:dyDescent="0.25">
      <c r="A797" s="87">
        <v>7.88</v>
      </c>
      <c r="B797" s="81" t="s">
        <v>48</v>
      </c>
      <c r="C797" s="82">
        <v>36</v>
      </c>
      <c r="D797" s="131" t="s">
        <v>795</v>
      </c>
      <c r="E797" s="83" t="s">
        <v>796</v>
      </c>
      <c r="F797" s="81" t="s">
        <v>354</v>
      </c>
      <c r="G797" s="87">
        <v>0.38</v>
      </c>
      <c r="H797" s="85"/>
      <c r="I797" s="86">
        <v>36030.22</v>
      </c>
      <c r="J797" s="185">
        <f t="shared" si="100"/>
        <v>107957.92</v>
      </c>
      <c r="K797" s="189">
        <f t="shared" si="101"/>
        <v>41024.01</v>
      </c>
      <c r="L797" s="189"/>
      <c r="M797" s="138"/>
      <c r="N797" s="138"/>
      <c r="O797" s="138"/>
      <c r="S797" s="72"/>
      <c r="T797" s="72"/>
      <c r="U797" s="72"/>
      <c r="V797" s="72"/>
    </row>
    <row r="798" spans="1:22" s="63" customFormat="1" ht="22.5" x14ac:dyDescent="0.25">
      <c r="A798" s="87">
        <v>7.89</v>
      </c>
      <c r="B798" s="81" t="s">
        <v>48</v>
      </c>
      <c r="C798" s="80">
        <v>36.1</v>
      </c>
      <c r="D798" s="131" t="s">
        <v>797</v>
      </c>
      <c r="E798" s="83" t="s">
        <v>3497</v>
      </c>
      <c r="F798" s="81" t="s">
        <v>334</v>
      </c>
      <c r="G798" s="87">
        <v>38.42</v>
      </c>
      <c r="H798" s="85"/>
      <c r="I798" s="86">
        <v>10666.3</v>
      </c>
      <c r="J798" s="185">
        <f t="shared" si="100"/>
        <v>316.10000000000002</v>
      </c>
      <c r="K798" s="189">
        <f t="shared" si="101"/>
        <v>12144.56</v>
      </c>
      <c r="L798" s="189"/>
      <c r="M798" s="138"/>
      <c r="N798" s="138"/>
      <c r="O798" s="138"/>
      <c r="S798" s="72"/>
      <c r="T798" s="72"/>
      <c r="U798" s="72"/>
      <c r="V798" s="72"/>
    </row>
    <row r="799" spans="1:22" s="63" customFormat="1" ht="22.5" x14ac:dyDescent="0.25">
      <c r="A799" s="87">
        <v>7.9</v>
      </c>
      <c r="B799" s="81" t="s">
        <v>48</v>
      </c>
      <c r="C799" s="82">
        <v>37</v>
      </c>
      <c r="D799" s="131" t="s">
        <v>798</v>
      </c>
      <c r="E799" s="83" t="s">
        <v>799</v>
      </c>
      <c r="F799" s="81" t="s">
        <v>354</v>
      </c>
      <c r="G799" s="87">
        <v>0.16</v>
      </c>
      <c r="H799" s="85"/>
      <c r="I799" s="86">
        <v>16004.82</v>
      </c>
      <c r="J799" s="185">
        <f t="shared" si="100"/>
        <v>113894.3</v>
      </c>
      <c r="K799" s="189">
        <f t="shared" si="101"/>
        <v>18223.09</v>
      </c>
      <c r="L799" s="189"/>
      <c r="M799" s="138"/>
      <c r="N799" s="138"/>
      <c r="O799" s="138"/>
      <c r="S799" s="72"/>
      <c r="T799" s="72"/>
      <c r="U799" s="72"/>
      <c r="V799" s="72"/>
    </row>
    <row r="800" spans="1:22" s="63" customFormat="1" ht="22.5" x14ac:dyDescent="0.25">
      <c r="A800" s="87">
        <v>7.91</v>
      </c>
      <c r="B800" s="81" t="s">
        <v>48</v>
      </c>
      <c r="C800" s="80">
        <v>37.1</v>
      </c>
      <c r="D800" s="131" t="s">
        <v>800</v>
      </c>
      <c r="E800" s="83" t="s">
        <v>3498</v>
      </c>
      <c r="F800" s="81" t="s">
        <v>334</v>
      </c>
      <c r="G800" s="87">
        <v>16.13</v>
      </c>
      <c r="H800" s="85"/>
      <c r="I800" s="86">
        <v>2951.09</v>
      </c>
      <c r="J800" s="185">
        <f t="shared" si="100"/>
        <v>208.31</v>
      </c>
      <c r="K800" s="189">
        <f t="shared" si="101"/>
        <v>3360.04</v>
      </c>
      <c r="L800" s="189"/>
      <c r="M800" s="138"/>
      <c r="N800" s="138"/>
      <c r="O800" s="138"/>
      <c r="S800" s="72"/>
      <c r="T800" s="72"/>
      <c r="U800" s="72"/>
      <c r="V800" s="72"/>
    </row>
    <row r="801" spans="1:22" s="63" customFormat="1" ht="22.5" x14ac:dyDescent="0.25">
      <c r="A801" s="87">
        <v>7.92</v>
      </c>
      <c r="B801" s="81" t="s">
        <v>48</v>
      </c>
      <c r="C801" s="82">
        <v>38</v>
      </c>
      <c r="D801" s="131" t="s">
        <v>801</v>
      </c>
      <c r="E801" s="83" t="s">
        <v>802</v>
      </c>
      <c r="F801" s="81" t="s">
        <v>354</v>
      </c>
      <c r="G801" s="87">
        <v>0.52</v>
      </c>
      <c r="H801" s="85"/>
      <c r="I801" s="86">
        <v>62075.08</v>
      </c>
      <c r="J801" s="185">
        <f t="shared" si="100"/>
        <v>135920.54999999999</v>
      </c>
      <c r="K801" s="189">
        <f t="shared" si="101"/>
        <v>70678.69</v>
      </c>
      <c r="L801" s="189"/>
      <c r="M801" s="138"/>
      <c r="N801" s="138"/>
      <c r="O801" s="138"/>
      <c r="S801" s="72"/>
      <c r="T801" s="72"/>
      <c r="U801" s="72"/>
      <c r="V801" s="72"/>
    </row>
    <row r="802" spans="1:22" s="63" customFormat="1" ht="22.5" x14ac:dyDescent="0.25">
      <c r="A802" s="87">
        <v>7.93</v>
      </c>
      <c r="B802" s="81" t="s">
        <v>48</v>
      </c>
      <c r="C802" s="80">
        <v>38.1</v>
      </c>
      <c r="D802" s="131" t="s">
        <v>803</v>
      </c>
      <c r="E802" s="83" t="s">
        <v>3499</v>
      </c>
      <c r="F802" s="81" t="s">
        <v>334</v>
      </c>
      <c r="G802" s="87">
        <v>52.26</v>
      </c>
      <c r="H802" s="85"/>
      <c r="I802" s="86">
        <v>6615.16</v>
      </c>
      <c r="J802" s="185">
        <f t="shared" si="100"/>
        <v>144.13</v>
      </c>
      <c r="K802" s="189">
        <f t="shared" si="101"/>
        <v>7532.23</v>
      </c>
      <c r="L802" s="189"/>
      <c r="M802" s="138"/>
      <c r="N802" s="138"/>
      <c r="O802" s="138"/>
      <c r="S802" s="72"/>
      <c r="T802" s="72"/>
      <c r="U802" s="72"/>
      <c r="V802" s="72"/>
    </row>
    <row r="803" spans="1:22" s="63" customFormat="1" ht="22.5" x14ac:dyDescent="0.25">
      <c r="A803" s="87">
        <v>7.94</v>
      </c>
      <c r="B803" s="81" t="s">
        <v>48</v>
      </c>
      <c r="C803" s="82">
        <v>39</v>
      </c>
      <c r="D803" s="131" t="s">
        <v>770</v>
      </c>
      <c r="E803" s="83" t="s">
        <v>771</v>
      </c>
      <c r="F803" s="81" t="s">
        <v>772</v>
      </c>
      <c r="G803" s="80">
        <v>13.6</v>
      </c>
      <c r="H803" s="85"/>
      <c r="I803" s="86">
        <v>63807.45</v>
      </c>
      <c r="J803" s="185">
        <f t="shared" si="100"/>
        <v>5342</v>
      </c>
      <c r="K803" s="189">
        <f t="shared" si="101"/>
        <v>72651.199999999997</v>
      </c>
      <c r="L803" s="189"/>
      <c r="M803" s="138"/>
      <c r="N803" s="138"/>
      <c r="O803" s="138"/>
      <c r="S803" s="72"/>
      <c r="T803" s="72"/>
      <c r="U803" s="72"/>
      <c r="V803" s="72"/>
    </row>
    <row r="804" spans="1:22" s="63" customFormat="1" ht="22.5" x14ac:dyDescent="0.25">
      <c r="A804" s="87">
        <v>7.95</v>
      </c>
      <c r="B804" s="81" t="s">
        <v>48</v>
      </c>
      <c r="C804" s="80">
        <v>39.1</v>
      </c>
      <c r="D804" s="131" t="s">
        <v>823</v>
      </c>
      <c r="E804" s="83" t="s">
        <v>824</v>
      </c>
      <c r="F804" s="81" t="s">
        <v>772</v>
      </c>
      <c r="G804" s="80">
        <v>3.3</v>
      </c>
      <c r="H804" s="85"/>
      <c r="I804" s="86">
        <v>13793.39</v>
      </c>
      <c r="J804" s="185">
        <f t="shared" si="100"/>
        <v>4759.1400000000003</v>
      </c>
      <c r="K804" s="189">
        <f t="shared" si="101"/>
        <v>15705.16</v>
      </c>
      <c r="L804" s="189"/>
      <c r="M804" s="138"/>
      <c r="N804" s="138"/>
      <c r="O804" s="138"/>
      <c r="S804" s="72"/>
      <c r="T804" s="72"/>
      <c r="U804" s="72"/>
      <c r="V804" s="72"/>
    </row>
    <row r="805" spans="1:22" s="63" customFormat="1" ht="22.5" x14ac:dyDescent="0.25">
      <c r="A805" s="87">
        <v>7.96</v>
      </c>
      <c r="B805" s="81" t="s">
        <v>48</v>
      </c>
      <c r="C805" s="80">
        <v>39.200000000000003</v>
      </c>
      <c r="D805" s="131" t="s">
        <v>825</v>
      </c>
      <c r="E805" s="83" t="s">
        <v>826</v>
      </c>
      <c r="F805" s="81" t="s">
        <v>772</v>
      </c>
      <c r="G805" s="87">
        <v>4.18</v>
      </c>
      <c r="H805" s="85"/>
      <c r="I805" s="86">
        <v>14268.3</v>
      </c>
      <c r="J805" s="185">
        <f t="shared" si="100"/>
        <v>3886.58</v>
      </c>
      <c r="K805" s="189">
        <f t="shared" si="101"/>
        <v>16245.9</v>
      </c>
      <c r="L805" s="189"/>
      <c r="M805" s="138"/>
      <c r="N805" s="138"/>
      <c r="O805" s="138"/>
      <c r="S805" s="72"/>
      <c r="T805" s="72"/>
      <c r="U805" s="72"/>
      <c r="V805" s="72"/>
    </row>
    <row r="806" spans="1:22" s="63" customFormat="1" ht="22.5" x14ac:dyDescent="0.25">
      <c r="A806" s="87">
        <v>7.97</v>
      </c>
      <c r="B806" s="81" t="s">
        <v>48</v>
      </c>
      <c r="C806" s="80">
        <v>39.299999999999997</v>
      </c>
      <c r="D806" s="131" t="s">
        <v>827</v>
      </c>
      <c r="E806" s="83" t="s">
        <v>828</v>
      </c>
      <c r="F806" s="81" t="s">
        <v>772</v>
      </c>
      <c r="G806" s="87">
        <v>1.76</v>
      </c>
      <c r="H806" s="85"/>
      <c r="I806" s="86">
        <v>5185.6499999999996</v>
      </c>
      <c r="J806" s="185">
        <f t="shared" si="100"/>
        <v>3354.76</v>
      </c>
      <c r="K806" s="189">
        <f t="shared" si="101"/>
        <v>5904.38</v>
      </c>
      <c r="L806" s="189"/>
      <c r="M806" s="138"/>
      <c r="N806" s="138"/>
      <c r="O806" s="138"/>
      <c r="S806" s="72"/>
      <c r="T806" s="72"/>
      <c r="U806" s="72"/>
      <c r="V806" s="72"/>
    </row>
    <row r="807" spans="1:22" s="63" customFormat="1" ht="22.5" x14ac:dyDescent="0.25">
      <c r="A807" s="87">
        <v>7.98</v>
      </c>
      <c r="B807" s="81" t="s">
        <v>48</v>
      </c>
      <c r="C807" s="80">
        <v>39.4</v>
      </c>
      <c r="D807" s="131" t="s">
        <v>829</v>
      </c>
      <c r="E807" s="83" t="s">
        <v>830</v>
      </c>
      <c r="F807" s="81" t="s">
        <v>772</v>
      </c>
      <c r="G807" s="87">
        <v>5.72</v>
      </c>
      <c r="H807" s="85"/>
      <c r="I807" s="86">
        <v>14847</v>
      </c>
      <c r="J807" s="185">
        <f t="shared" si="100"/>
        <v>2955.38</v>
      </c>
      <c r="K807" s="189">
        <f t="shared" si="101"/>
        <v>16904.77</v>
      </c>
      <c r="L807" s="189"/>
      <c r="M807" s="138"/>
      <c r="N807" s="138"/>
      <c r="O807" s="138"/>
      <c r="S807" s="72"/>
      <c r="T807" s="72"/>
      <c r="U807" s="72"/>
      <c r="V807" s="72"/>
    </row>
    <row r="808" spans="1:22" s="63" customFormat="1" ht="15" x14ac:dyDescent="0.25">
      <c r="A808" s="87">
        <v>7.99</v>
      </c>
      <c r="B808" s="81" t="s">
        <v>48</v>
      </c>
      <c r="C808" s="82">
        <v>40</v>
      </c>
      <c r="D808" s="131" t="s">
        <v>717</v>
      </c>
      <c r="E808" s="83" t="s">
        <v>718</v>
      </c>
      <c r="F808" s="81" t="s">
        <v>219</v>
      </c>
      <c r="G808" s="82">
        <v>14</v>
      </c>
      <c r="H808" s="85"/>
      <c r="I808" s="86">
        <v>31512.23</v>
      </c>
      <c r="J808" s="185">
        <f t="shared" si="100"/>
        <v>2562.84</v>
      </c>
      <c r="K808" s="189">
        <f t="shared" si="101"/>
        <v>35879.760000000002</v>
      </c>
      <c r="L808" s="189"/>
      <c r="M808" s="138"/>
      <c r="N808" s="138"/>
      <c r="O808" s="138"/>
      <c r="S808" s="72"/>
      <c r="T808" s="72"/>
      <c r="U808" s="72"/>
      <c r="V808" s="72"/>
    </row>
    <row r="809" spans="1:22" s="63" customFormat="1" ht="22.5" x14ac:dyDescent="0.25">
      <c r="A809" s="84">
        <v>7.1</v>
      </c>
      <c r="B809" s="81" t="s">
        <v>48</v>
      </c>
      <c r="C809" s="80">
        <v>40.1</v>
      </c>
      <c r="D809" s="131" t="s">
        <v>719</v>
      </c>
      <c r="E809" s="83" t="s">
        <v>720</v>
      </c>
      <c r="F809" s="81" t="s">
        <v>219</v>
      </c>
      <c r="G809" s="82">
        <v>14</v>
      </c>
      <c r="H809" s="85"/>
      <c r="I809" s="86">
        <v>6063.09</v>
      </c>
      <c r="J809" s="185">
        <f t="shared" si="100"/>
        <v>493.1</v>
      </c>
      <c r="K809" s="189">
        <f t="shared" si="101"/>
        <v>6903.4</v>
      </c>
      <c r="L809" s="189"/>
      <c r="M809" s="138"/>
      <c r="N809" s="138"/>
      <c r="O809" s="138"/>
      <c r="S809" s="72"/>
      <c r="T809" s="72"/>
      <c r="U809" s="72"/>
      <c r="V809" s="72"/>
    </row>
    <row r="810" spans="1:22" s="63" customFormat="1" ht="22.5" x14ac:dyDescent="0.25">
      <c r="A810" s="84">
        <v>7.101</v>
      </c>
      <c r="B810" s="81" t="s">
        <v>48</v>
      </c>
      <c r="C810" s="80">
        <v>40.200000000000003</v>
      </c>
      <c r="D810" s="131" t="s">
        <v>843</v>
      </c>
      <c r="E810" s="83" t="s">
        <v>844</v>
      </c>
      <c r="F810" s="81" t="s">
        <v>219</v>
      </c>
      <c r="G810" s="82">
        <v>14</v>
      </c>
      <c r="H810" s="85"/>
      <c r="I810" s="86">
        <v>1953.07</v>
      </c>
      <c r="J810" s="185">
        <f t="shared" si="100"/>
        <v>158.84</v>
      </c>
      <c r="K810" s="189">
        <f t="shared" si="101"/>
        <v>2223.7600000000002</v>
      </c>
      <c r="L810" s="189"/>
      <c r="M810" s="138"/>
      <c r="N810" s="138"/>
      <c r="O810" s="138"/>
      <c r="S810" s="72"/>
      <c r="T810" s="72"/>
      <c r="U810" s="72"/>
      <c r="V810" s="72"/>
    </row>
    <row r="811" spans="1:22" s="128" customFormat="1" ht="12.75" x14ac:dyDescent="0.25">
      <c r="A811" s="242"/>
      <c r="B811" s="125"/>
      <c r="C811" s="236"/>
      <c r="D811" s="77"/>
      <c r="E811" s="126" t="s">
        <v>3278</v>
      </c>
      <c r="F811" s="125"/>
      <c r="G811" s="76"/>
      <c r="H811" s="127"/>
      <c r="I811" s="78"/>
      <c r="J811" s="238"/>
      <c r="K811" s="239"/>
      <c r="L811" s="239"/>
      <c r="M811" s="79"/>
      <c r="N811" s="79"/>
      <c r="O811" s="79"/>
      <c r="S811" s="129"/>
      <c r="T811" s="129"/>
      <c r="U811" s="129"/>
      <c r="V811" s="129"/>
    </row>
    <row r="812" spans="1:22" s="63" customFormat="1" ht="22.5" x14ac:dyDescent="0.25">
      <c r="A812" s="84">
        <v>7.1020000000000003</v>
      </c>
      <c r="B812" s="81" t="s">
        <v>48</v>
      </c>
      <c r="C812" s="82">
        <v>41</v>
      </c>
      <c r="D812" s="131" t="s">
        <v>795</v>
      </c>
      <c r="E812" s="83" t="s">
        <v>796</v>
      </c>
      <c r="F812" s="81" t="s">
        <v>354</v>
      </c>
      <c r="G812" s="87">
        <v>0.18</v>
      </c>
      <c r="H812" s="85"/>
      <c r="I812" s="86">
        <v>17066.54</v>
      </c>
      <c r="J812" s="185">
        <f t="shared" ref="J812:J823" si="102">ROUND($I812/$G812*$N$11,2)</f>
        <v>107955.35</v>
      </c>
      <c r="K812" s="189">
        <f t="shared" ref="K812:K823" si="103">ROUND(G812*J812,2)</f>
        <v>19431.96</v>
      </c>
      <c r="L812" s="189"/>
      <c r="M812" s="138"/>
      <c r="N812" s="138"/>
      <c r="O812" s="138"/>
      <c r="S812" s="72"/>
      <c r="T812" s="72"/>
      <c r="U812" s="72"/>
      <c r="V812" s="72"/>
    </row>
    <row r="813" spans="1:22" s="63" customFormat="1" ht="22.5" x14ac:dyDescent="0.25">
      <c r="A813" s="84">
        <v>7.1029999999999998</v>
      </c>
      <c r="B813" s="81" t="s">
        <v>48</v>
      </c>
      <c r="C813" s="80">
        <v>41.1</v>
      </c>
      <c r="D813" s="131" t="s">
        <v>797</v>
      </c>
      <c r="E813" s="83" t="s">
        <v>3497</v>
      </c>
      <c r="F813" s="81" t="s">
        <v>334</v>
      </c>
      <c r="G813" s="80">
        <v>18.2</v>
      </c>
      <c r="H813" s="85"/>
      <c r="I813" s="86">
        <v>5052.72</v>
      </c>
      <c r="J813" s="185">
        <f t="shared" si="102"/>
        <v>316.10000000000002</v>
      </c>
      <c r="K813" s="189">
        <f t="shared" si="103"/>
        <v>5753.02</v>
      </c>
      <c r="L813" s="189"/>
      <c r="M813" s="138"/>
      <c r="N813" s="138"/>
      <c r="O813" s="138"/>
      <c r="S813" s="72"/>
      <c r="T813" s="72"/>
      <c r="U813" s="72"/>
      <c r="V813" s="72"/>
    </row>
    <row r="814" spans="1:22" s="63" customFormat="1" ht="22.5" x14ac:dyDescent="0.25">
      <c r="A814" s="84">
        <v>7.1040000000000001</v>
      </c>
      <c r="B814" s="81" t="s">
        <v>48</v>
      </c>
      <c r="C814" s="82">
        <v>42</v>
      </c>
      <c r="D814" s="131" t="s">
        <v>798</v>
      </c>
      <c r="E814" s="83" t="s">
        <v>799</v>
      </c>
      <c r="F814" s="81" t="s">
        <v>354</v>
      </c>
      <c r="G814" s="87">
        <v>0.65</v>
      </c>
      <c r="H814" s="85"/>
      <c r="I814" s="86">
        <v>65019.35</v>
      </c>
      <c r="J814" s="185">
        <f t="shared" si="102"/>
        <v>113893.9</v>
      </c>
      <c r="K814" s="189">
        <f t="shared" si="103"/>
        <v>74031.039999999994</v>
      </c>
      <c r="L814" s="189"/>
      <c r="M814" s="138"/>
      <c r="N814" s="138"/>
      <c r="O814" s="138"/>
      <c r="S814" s="72"/>
      <c r="T814" s="72"/>
      <c r="U814" s="72"/>
      <c r="V814" s="72"/>
    </row>
    <row r="815" spans="1:22" s="63" customFormat="1" ht="22.5" x14ac:dyDescent="0.25">
      <c r="A815" s="84">
        <v>7.1050000000000004</v>
      </c>
      <c r="B815" s="81" t="s">
        <v>48</v>
      </c>
      <c r="C815" s="80">
        <v>42.1</v>
      </c>
      <c r="D815" s="131" t="s">
        <v>800</v>
      </c>
      <c r="E815" s="83" t="s">
        <v>3498</v>
      </c>
      <c r="F815" s="81" t="s">
        <v>334</v>
      </c>
      <c r="G815" s="87">
        <v>65.52</v>
      </c>
      <c r="H815" s="85"/>
      <c r="I815" s="86">
        <v>11987.38</v>
      </c>
      <c r="J815" s="185">
        <f t="shared" si="102"/>
        <v>208.32</v>
      </c>
      <c r="K815" s="189">
        <f t="shared" si="103"/>
        <v>13649.13</v>
      </c>
      <c r="L815" s="189"/>
      <c r="M815" s="138"/>
      <c r="N815" s="138"/>
      <c r="O815" s="138"/>
      <c r="S815" s="72"/>
      <c r="T815" s="72"/>
      <c r="U815" s="72"/>
      <c r="V815" s="72"/>
    </row>
    <row r="816" spans="1:22" s="63" customFormat="1" ht="22.5" x14ac:dyDescent="0.25">
      <c r="A816" s="84">
        <v>7.1059999999999999</v>
      </c>
      <c r="B816" s="81" t="s">
        <v>48</v>
      </c>
      <c r="C816" s="82">
        <v>43</v>
      </c>
      <c r="D816" s="131" t="s">
        <v>801</v>
      </c>
      <c r="E816" s="83" t="s">
        <v>802</v>
      </c>
      <c r="F816" s="81" t="s">
        <v>354</v>
      </c>
      <c r="G816" s="80">
        <v>1.5</v>
      </c>
      <c r="H816" s="85"/>
      <c r="I816" s="86">
        <v>179062.88</v>
      </c>
      <c r="J816" s="185">
        <f t="shared" si="102"/>
        <v>135920.66</v>
      </c>
      <c r="K816" s="189">
        <f t="shared" si="103"/>
        <v>203880.99</v>
      </c>
      <c r="L816" s="189"/>
      <c r="M816" s="138"/>
      <c r="N816" s="138"/>
      <c r="O816" s="138"/>
      <c r="S816" s="72"/>
      <c r="T816" s="72"/>
      <c r="U816" s="72"/>
      <c r="V816" s="72"/>
    </row>
    <row r="817" spans="1:22" s="63" customFormat="1" ht="22.5" x14ac:dyDescent="0.25">
      <c r="A817" s="84">
        <v>7.1070000000000002</v>
      </c>
      <c r="B817" s="81" t="s">
        <v>48</v>
      </c>
      <c r="C817" s="80">
        <v>43.1</v>
      </c>
      <c r="D817" s="131" t="s">
        <v>803</v>
      </c>
      <c r="E817" s="83" t="s">
        <v>3499</v>
      </c>
      <c r="F817" s="81" t="s">
        <v>334</v>
      </c>
      <c r="G817" s="80">
        <v>150.80000000000001</v>
      </c>
      <c r="H817" s="85"/>
      <c r="I817" s="86">
        <v>19088.54</v>
      </c>
      <c r="J817" s="185">
        <f t="shared" si="102"/>
        <v>144.13</v>
      </c>
      <c r="K817" s="189">
        <f t="shared" si="103"/>
        <v>21734.799999999999</v>
      </c>
      <c r="L817" s="189"/>
      <c r="M817" s="138"/>
      <c r="N817" s="138"/>
      <c r="O817" s="138"/>
      <c r="S817" s="72"/>
      <c r="T817" s="72"/>
      <c r="U817" s="72"/>
      <c r="V817" s="72"/>
    </row>
    <row r="818" spans="1:22" s="63" customFormat="1" ht="22.5" x14ac:dyDescent="0.25">
      <c r="A818" s="84">
        <v>7.1079999999999997</v>
      </c>
      <c r="B818" s="81" t="s">
        <v>48</v>
      </c>
      <c r="C818" s="80">
        <v>43.2</v>
      </c>
      <c r="D818" s="131" t="s">
        <v>810</v>
      </c>
      <c r="E818" s="83" t="s">
        <v>811</v>
      </c>
      <c r="F818" s="81" t="s">
        <v>219</v>
      </c>
      <c r="G818" s="82">
        <v>16</v>
      </c>
      <c r="H818" s="85"/>
      <c r="I818" s="86">
        <v>6034.14</v>
      </c>
      <c r="J818" s="185">
        <f t="shared" si="102"/>
        <v>429.4</v>
      </c>
      <c r="K818" s="189">
        <f t="shared" si="103"/>
        <v>6870.4</v>
      </c>
      <c r="L818" s="189"/>
      <c r="M818" s="138"/>
      <c r="N818" s="138"/>
      <c r="O818" s="138"/>
      <c r="S818" s="72"/>
      <c r="T818" s="72"/>
      <c r="U818" s="72"/>
      <c r="V818" s="72"/>
    </row>
    <row r="819" spans="1:22" s="63" customFormat="1" ht="22.5" x14ac:dyDescent="0.25">
      <c r="A819" s="84">
        <v>7.109</v>
      </c>
      <c r="B819" s="81" t="s">
        <v>48</v>
      </c>
      <c r="C819" s="80">
        <v>43.3</v>
      </c>
      <c r="D819" s="131" t="s">
        <v>812</v>
      </c>
      <c r="E819" s="83" t="s">
        <v>813</v>
      </c>
      <c r="F819" s="81" t="s">
        <v>219</v>
      </c>
      <c r="G819" s="82">
        <v>16</v>
      </c>
      <c r="H819" s="85"/>
      <c r="I819" s="86">
        <v>5063.7299999999996</v>
      </c>
      <c r="J819" s="185">
        <f t="shared" si="102"/>
        <v>360.35</v>
      </c>
      <c r="K819" s="189">
        <f t="shared" si="103"/>
        <v>5765.6</v>
      </c>
      <c r="L819" s="189"/>
      <c r="M819" s="138"/>
      <c r="N819" s="138"/>
      <c r="O819" s="138"/>
      <c r="S819" s="72"/>
      <c r="T819" s="72"/>
      <c r="U819" s="72"/>
      <c r="V819" s="72"/>
    </row>
    <row r="820" spans="1:22" s="63" customFormat="1" ht="15" x14ac:dyDescent="0.25">
      <c r="A820" s="84">
        <v>7.11</v>
      </c>
      <c r="B820" s="81" t="s">
        <v>48</v>
      </c>
      <c r="C820" s="82">
        <v>44</v>
      </c>
      <c r="D820" s="131" t="s">
        <v>845</v>
      </c>
      <c r="E820" s="83" t="s">
        <v>846</v>
      </c>
      <c r="F820" s="81" t="s">
        <v>566</v>
      </c>
      <c r="G820" s="82">
        <v>1</v>
      </c>
      <c r="H820" s="85"/>
      <c r="I820" s="86">
        <v>8307.56</v>
      </c>
      <c r="J820" s="185">
        <f t="shared" si="102"/>
        <v>9458.99</v>
      </c>
      <c r="K820" s="189">
        <f t="shared" si="103"/>
        <v>9458.99</v>
      </c>
      <c r="L820" s="189"/>
      <c r="M820" s="138"/>
      <c r="N820" s="138"/>
      <c r="O820" s="138"/>
      <c r="S820" s="72"/>
      <c r="T820" s="72"/>
      <c r="U820" s="72"/>
      <c r="V820" s="72"/>
    </row>
    <row r="821" spans="1:22" s="63" customFormat="1" ht="22.5" x14ac:dyDescent="0.25">
      <c r="A821" s="84">
        <v>7.1109999999999998</v>
      </c>
      <c r="B821" s="81" t="s">
        <v>48</v>
      </c>
      <c r="C821" s="80">
        <v>44.1</v>
      </c>
      <c r="D821" s="131" t="s">
        <v>847</v>
      </c>
      <c r="E821" s="83" t="s">
        <v>3500</v>
      </c>
      <c r="F821" s="81" t="s">
        <v>219</v>
      </c>
      <c r="G821" s="82">
        <v>10</v>
      </c>
      <c r="H821" s="85"/>
      <c r="I821" s="86">
        <v>42441.25</v>
      </c>
      <c r="J821" s="185">
        <f t="shared" si="102"/>
        <v>4832.3599999999997</v>
      </c>
      <c r="K821" s="189">
        <f t="shared" si="103"/>
        <v>48323.6</v>
      </c>
      <c r="L821" s="189"/>
      <c r="M821" s="138"/>
      <c r="N821" s="138"/>
      <c r="O821" s="138"/>
      <c r="S821" s="72"/>
      <c r="T821" s="72"/>
      <c r="U821" s="72"/>
      <c r="V821" s="72"/>
    </row>
    <row r="822" spans="1:22" s="63" customFormat="1" ht="22.5" x14ac:dyDescent="0.25">
      <c r="A822" s="84">
        <v>7.1120000000000001</v>
      </c>
      <c r="B822" s="81" t="s">
        <v>48</v>
      </c>
      <c r="C822" s="82">
        <v>45</v>
      </c>
      <c r="D822" s="131" t="s">
        <v>701</v>
      </c>
      <c r="E822" s="83" t="s">
        <v>702</v>
      </c>
      <c r="F822" s="81" t="s">
        <v>219</v>
      </c>
      <c r="G822" s="82">
        <v>20</v>
      </c>
      <c r="H822" s="85"/>
      <c r="I822" s="86">
        <v>37915.32</v>
      </c>
      <c r="J822" s="185">
        <f t="shared" si="102"/>
        <v>2158.52</v>
      </c>
      <c r="K822" s="189">
        <f t="shared" si="103"/>
        <v>43170.400000000001</v>
      </c>
      <c r="L822" s="189"/>
      <c r="M822" s="138"/>
      <c r="N822" s="138"/>
      <c r="O822" s="138"/>
      <c r="S822" s="72"/>
      <c r="T822" s="72"/>
      <c r="U822" s="72"/>
      <c r="V822" s="72"/>
    </row>
    <row r="823" spans="1:22" s="63" customFormat="1" ht="22.5" x14ac:dyDescent="0.25">
      <c r="A823" s="84">
        <v>7.1130000000000004</v>
      </c>
      <c r="B823" s="81" t="s">
        <v>48</v>
      </c>
      <c r="C823" s="80">
        <v>45.1</v>
      </c>
      <c r="D823" s="131" t="s">
        <v>848</v>
      </c>
      <c r="E823" s="83" t="s">
        <v>849</v>
      </c>
      <c r="F823" s="81" t="s">
        <v>219</v>
      </c>
      <c r="G823" s="82">
        <v>20</v>
      </c>
      <c r="H823" s="85"/>
      <c r="I823" s="86">
        <v>7228.32</v>
      </c>
      <c r="J823" s="185">
        <f t="shared" si="102"/>
        <v>411.51</v>
      </c>
      <c r="K823" s="189">
        <f t="shared" si="103"/>
        <v>8230.2000000000007</v>
      </c>
      <c r="L823" s="189"/>
      <c r="M823" s="138"/>
      <c r="N823" s="138"/>
      <c r="O823" s="138"/>
      <c r="S823" s="72"/>
      <c r="T823" s="72"/>
      <c r="U823" s="72"/>
      <c r="V823" s="72"/>
    </row>
    <row r="824" spans="1:22" s="128" customFormat="1" ht="25.5" x14ac:dyDescent="0.25">
      <c r="A824" s="242"/>
      <c r="B824" s="125"/>
      <c r="C824" s="236"/>
      <c r="D824" s="77"/>
      <c r="E824" s="126" t="s">
        <v>3279</v>
      </c>
      <c r="F824" s="125"/>
      <c r="G824" s="76"/>
      <c r="H824" s="127"/>
      <c r="I824" s="78"/>
      <c r="J824" s="238"/>
      <c r="K824" s="239"/>
      <c r="L824" s="239"/>
      <c r="M824" s="79"/>
      <c r="N824" s="79"/>
      <c r="O824" s="79"/>
      <c r="S824" s="129"/>
      <c r="T824" s="129"/>
      <c r="U824" s="129"/>
      <c r="V824" s="129"/>
    </row>
    <row r="825" spans="1:22" s="63" customFormat="1" ht="22.5" x14ac:dyDescent="0.25">
      <c r="A825" s="84">
        <v>7.1139999999999999</v>
      </c>
      <c r="B825" s="81" t="s">
        <v>48</v>
      </c>
      <c r="C825" s="82">
        <v>46</v>
      </c>
      <c r="D825" s="131" t="s">
        <v>791</v>
      </c>
      <c r="E825" s="83" t="s">
        <v>792</v>
      </c>
      <c r="F825" s="81" t="s">
        <v>354</v>
      </c>
      <c r="G825" s="87">
        <v>0.04</v>
      </c>
      <c r="H825" s="85"/>
      <c r="I825" s="86">
        <v>3404.12</v>
      </c>
      <c r="J825" s="185">
        <f t="shared" ref="J825:J843" si="104">ROUND($I825/$G825*$N$11,2)</f>
        <v>96898.28</v>
      </c>
      <c r="K825" s="189">
        <f t="shared" ref="K825:K850" si="105">ROUND(G825*J825,2)</f>
        <v>3875.93</v>
      </c>
      <c r="L825" s="189"/>
      <c r="M825" s="138"/>
      <c r="N825" s="138"/>
      <c r="O825" s="138"/>
      <c r="S825" s="72"/>
      <c r="T825" s="72"/>
      <c r="U825" s="72"/>
      <c r="V825" s="72"/>
    </row>
    <row r="826" spans="1:22" s="63" customFormat="1" ht="22.5" x14ac:dyDescent="0.25">
      <c r="A826" s="84">
        <v>7.1150000000000002</v>
      </c>
      <c r="B826" s="81" t="s">
        <v>48</v>
      </c>
      <c r="C826" s="80">
        <v>46.1</v>
      </c>
      <c r="D826" s="131" t="s">
        <v>793</v>
      </c>
      <c r="E826" s="83" t="s">
        <v>3495</v>
      </c>
      <c r="F826" s="81" t="s">
        <v>334</v>
      </c>
      <c r="G826" s="84">
        <v>4.048</v>
      </c>
      <c r="H826" s="85"/>
      <c r="I826" s="86">
        <v>1619</v>
      </c>
      <c r="J826" s="185">
        <f t="shared" si="104"/>
        <v>455.38</v>
      </c>
      <c r="K826" s="189">
        <f t="shared" si="105"/>
        <v>1843.38</v>
      </c>
      <c r="L826" s="189"/>
      <c r="M826" s="138"/>
      <c r="N826" s="138"/>
      <c r="O826" s="138"/>
      <c r="S826" s="72"/>
      <c r="T826" s="72"/>
      <c r="U826" s="72"/>
      <c r="V826" s="72"/>
    </row>
    <row r="827" spans="1:22" s="63" customFormat="1" ht="22.5" x14ac:dyDescent="0.25">
      <c r="A827" s="84">
        <v>7.1159999999999997</v>
      </c>
      <c r="B827" s="81" t="s">
        <v>48</v>
      </c>
      <c r="C827" s="82">
        <v>47</v>
      </c>
      <c r="D827" s="131" t="s">
        <v>795</v>
      </c>
      <c r="E827" s="83" t="s">
        <v>796</v>
      </c>
      <c r="F827" s="81" t="s">
        <v>354</v>
      </c>
      <c r="G827" s="87">
        <v>0.04</v>
      </c>
      <c r="H827" s="85"/>
      <c r="I827" s="86">
        <v>3792.65</v>
      </c>
      <c r="J827" s="185">
        <f t="shared" si="104"/>
        <v>107957.78</v>
      </c>
      <c r="K827" s="189">
        <f t="shared" si="105"/>
        <v>4318.3100000000004</v>
      </c>
      <c r="L827" s="189"/>
      <c r="M827" s="138"/>
      <c r="N827" s="138"/>
      <c r="O827" s="138"/>
      <c r="S827" s="72"/>
      <c r="T827" s="72"/>
      <c r="U827" s="72"/>
      <c r="V827" s="72"/>
    </row>
    <row r="828" spans="1:22" s="63" customFormat="1" ht="22.5" x14ac:dyDescent="0.25">
      <c r="A828" s="84">
        <v>7.117</v>
      </c>
      <c r="B828" s="81" t="s">
        <v>48</v>
      </c>
      <c r="C828" s="80">
        <v>47.1</v>
      </c>
      <c r="D828" s="131" t="s">
        <v>797</v>
      </c>
      <c r="E828" s="83" t="s">
        <v>3497</v>
      </c>
      <c r="F828" s="81" t="s">
        <v>334</v>
      </c>
      <c r="G828" s="84">
        <v>4.0439999999999996</v>
      </c>
      <c r="H828" s="85"/>
      <c r="I828" s="86">
        <v>1122.7</v>
      </c>
      <c r="J828" s="185">
        <f t="shared" si="104"/>
        <v>316.10000000000002</v>
      </c>
      <c r="K828" s="189">
        <f t="shared" si="105"/>
        <v>1278.31</v>
      </c>
      <c r="L828" s="189"/>
      <c r="M828" s="138"/>
      <c r="N828" s="138"/>
      <c r="O828" s="138"/>
      <c r="S828" s="72"/>
      <c r="T828" s="72"/>
      <c r="U828" s="72"/>
      <c r="V828" s="72"/>
    </row>
    <row r="829" spans="1:22" s="63" customFormat="1" ht="22.5" x14ac:dyDescent="0.25">
      <c r="A829" s="84">
        <v>7.1180000000000003</v>
      </c>
      <c r="B829" s="81" t="s">
        <v>48</v>
      </c>
      <c r="C829" s="82">
        <v>48</v>
      </c>
      <c r="D829" s="131" t="s">
        <v>798</v>
      </c>
      <c r="E829" s="83" t="s">
        <v>799</v>
      </c>
      <c r="F829" s="81" t="s">
        <v>354</v>
      </c>
      <c r="G829" s="80">
        <v>0.9</v>
      </c>
      <c r="H829" s="85"/>
      <c r="I829" s="86">
        <v>90027.56</v>
      </c>
      <c r="J829" s="185">
        <f t="shared" si="104"/>
        <v>113894.87</v>
      </c>
      <c r="K829" s="189">
        <f t="shared" si="105"/>
        <v>102505.38</v>
      </c>
      <c r="L829" s="189"/>
      <c r="M829" s="138"/>
      <c r="N829" s="138"/>
      <c r="O829" s="138"/>
      <c r="S829" s="72"/>
      <c r="T829" s="72"/>
      <c r="U829" s="72"/>
      <c r="V829" s="72"/>
    </row>
    <row r="830" spans="1:22" s="63" customFormat="1" ht="22.5" x14ac:dyDescent="0.25">
      <c r="A830" s="84">
        <v>7.1189999999999998</v>
      </c>
      <c r="B830" s="81" t="s">
        <v>48</v>
      </c>
      <c r="C830" s="80">
        <v>48.1</v>
      </c>
      <c r="D830" s="131" t="s">
        <v>800</v>
      </c>
      <c r="E830" s="83" t="s">
        <v>3498</v>
      </c>
      <c r="F830" s="81" t="s">
        <v>334</v>
      </c>
      <c r="G830" s="87">
        <v>90.72</v>
      </c>
      <c r="H830" s="85"/>
      <c r="I830" s="86">
        <v>16597.87</v>
      </c>
      <c r="J830" s="185">
        <f t="shared" si="104"/>
        <v>208.31</v>
      </c>
      <c r="K830" s="189">
        <f t="shared" si="105"/>
        <v>18897.88</v>
      </c>
      <c r="L830" s="189"/>
      <c r="M830" s="138"/>
      <c r="N830" s="138"/>
      <c r="O830" s="138"/>
      <c r="S830" s="72"/>
      <c r="T830" s="72"/>
      <c r="U830" s="72"/>
      <c r="V830" s="72"/>
    </row>
    <row r="831" spans="1:22" s="63" customFormat="1" ht="22.5" x14ac:dyDescent="0.25">
      <c r="A831" s="84">
        <v>7.12</v>
      </c>
      <c r="B831" s="81" t="s">
        <v>48</v>
      </c>
      <c r="C831" s="82">
        <v>49</v>
      </c>
      <c r="D831" s="131" t="s">
        <v>801</v>
      </c>
      <c r="E831" s="83" t="s">
        <v>802</v>
      </c>
      <c r="F831" s="81" t="s">
        <v>354</v>
      </c>
      <c r="G831" s="80">
        <v>2.2999999999999998</v>
      </c>
      <c r="H831" s="85"/>
      <c r="I831" s="86">
        <v>274561.07</v>
      </c>
      <c r="J831" s="185">
        <f t="shared" si="104"/>
        <v>135919.67000000001</v>
      </c>
      <c r="K831" s="189">
        <f t="shared" si="105"/>
        <v>312615.24</v>
      </c>
      <c r="L831" s="189"/>
      <c r="M831" s="138"/>
      <c r="N831" s="138"/>
      <c r="O831" s="138"/>
      <c r="S831" s="72"/>
      <c r="T831" s="72"/>
      <c r="U831" s="72"/>
      <c r="V831" s="72"/>
    </row>
    <row r="832" spans="1:22" s="63" customFormat="1" ht="22.5" x14ac:dyDescent="0.25">
      <c r="A832" s="84">
        <v>7.1210000000000004</v>
      </c>
      <c r="B832" s="81" t="s">
        <v>48</v>
      </c>
      <c r="C832" s="80">
        <v>49.1</v>
      </c>
      <c r="D832" s="131" t="s">
        <v>803</v>
      </c>
      <c r="E832" s="83" t="s">
        <v>3499</v>
      </c>
      <c r="F832" s="81" t="s">
        <v>334</v>
      </c>
      <c r="G832" s="80">
        <v>231.2</v>
      </c>
      <c r="H832" s="85"/>
      <c r="I832" s="86">
        <v>29265.73</v>
      </c>
      <c r="J832" s="185">
        <f t="shared" si="104"/>
        <v>144.13</v>
      </c>
      <c r="K832" s="189">
        <f t="shared" si="105"/>
        <v>33322.86</v>
      </c>
      <c r="L832" s="189"/>
      <c r="M832" s="138"/>
      <c r="N832" s="138"/>
      <c r="O832" s="138"/>
      <c r="S832" s="72"/>
      <c r="T832" s="72"/>
      <c r="U832" s="72"/>
      <c r="V832" s="72"/>
    </row>
    <row r="833" spans="1:22" s="63" customFormat="1" ht="22.5" x14ac:dyDescent="0.25">
      <c r="A833" s="84">
        <v>7.1219999999999999</v>
      </c>
      <c r="B833" s="81" t="s">
        <v>48</v>
      </c>
      <c r="C833" s="80">
        <v>49.2</v>
      </c>
      <c r="D833" s="131" t="s">
        <v>850</v>
      </c>
      <c r="E833" s="83" t="s">
        <v>851</v>
      </c>
      <c r="F833" s="81" t="s">
        <v>219</v>
      </c>
      <c r="G833" s="82">
        <v>10</v>
      </c>
      <c r="H833" s="85"/>
      <c r="I833" s="86">
        <v>2116.9899999999998</v>
      </c>
      <c r="J833" s="185">
        <f t="shared" si="104"/>
        <v>241.04</v>
      </c>
      <c r="K833" s="189">
        <f t="shared" si="105"/>
        <v>2410.4</v>
      </c>
      <c r="L833" s="189"/>
      <c r="M833" s="138"/>
      <c r="N833" s="138"/>
      <c r="O833" s="138"/>
      <c r="S833" s="72"/>
      <c r="T833" s="72"/>
      <c r="U833" s="72"/>
      <c r="V833" s="72"/>
    </row>
    <row r="834" spans="1:22" s="63" customFormat="1" ht="15" x14ac:dyDescent="0.25">
      <c r="A834" s="84">
        <v>7.1230000000000002</v>
      </c>
      <c r="B834" s="81" t="s">
        <v>48</v>
      </c>
      <c r="C834" s="82">
        <v>50</v>
      </c>
      <c r="D834" s="131" t="s">
        <v>717</v>
      </c>
      <c r="E834" s="83" t="s">
        <v>718</v>
      </c>
      <c r="F834" s="81" t="s">
        <v>219</v>
      </c>
      <c r="G834" s="82">
        <v>1</v>
      </c>
      <c r="H834" s="85"/>
      <c r="I834" s="86">
        <v>2250.63</v>
      </c>
      <c r="J834" s="185">
        <f t="shared" si="104"/>
        <v>2562.5700000000002</v>
      </c>
      <c r="K834" s="189">
        <f t="shared" si="105"/>
        <v>2562.5700000000002</v>
      </c>
      <c r="L834" s="189"/>
      <c r="M834" s="138"/>
      <c r="N834" s="138"/>
      <c r="O834" s="138"/>
      <c r="S834" s="72"/>
      <c r="T834" s="72"/>
      <c r="U834" s="72"/>
      <c r="V834" s="72"/>
    </row>
    <row r="835" spans="1:22" s="63" customFormat="1" ht="22.5" x14ac:dyDescent="0.25">
      <c r="A835" s="84">
        <v>7.1239999999999997</v>
      </c>
      <c r="B835" s="81" t="s">
        <v>48</v>
      </c>
      <c r="C835" s="80">
        <v>50.1</v>
      </c>
      <c r="D835" s="131" t="s">
        <v>719</v>
      </c>
      <c r="E835" s="83" t="s">
        <v>720</v>
      </c>
      <c r="F835" s="81" t="s">
        <v>219</v>
      </c>
      <c r="G835" s="82">
        <v>1</v>
      </c>
      <c r="H835" s="85"/>
      <c r="I835" s="86">
        <v>433.08</v>
      </c>
      <c r="J835" s="185">
        <f t="shared" si="104"/>
        <v>493.1</v>
      </c>
      <c r="K835" s="189">
        <f t="shared" si="105"/>
        <v>493.1</v>
      </c>
      <c r="L835" s="189"/>
      <c r="M835" s="138"/>
      <c r="N835" s="138"/>
      <c r="O835" s="138"/>
      <c r="S835" s="72"/>
      <c r="T835" s="72"/>
      <c r="U835" s="72"/>
      <c r="V835" s="72"/>
    </row>
    <row r="836" spans="1:22" s="63" customFormat="1" ht="22.5" x14ac:dyDescent="0.25">
      <c r="A836" s="84">
        <v>7.125</v>
      </c>
      <c r="B836" s="81" t="s">
        <v>48</v>
      </c>
      <c r="C836" s="80">
        <v>50.2</v>
      </c>
      <c r="D836" s="131" t="s">
        <v>808</v>
      </c>
      <c r="E836" s="83" t="s">
        <v>809</v>
      </c>
      <c r="F836" s="81" t="s">
        <v>219</v>
      </c>
      <c r="G836" s="82">
        <v>2</v>
      </c>
      <c r="H836" s="85"/>
      <c r="I836" s="86">
        <v>1055.83</v>
      </c>
      <c r="J836" s="185">
        <f t="shared" si="104"/>
        <v>601.08000000000004</v>
      </c>
      <c r="K836" s="189">
        <f t="shared" si="105"/>
        <v>1202.1600000000001</v>
      </c>
      <c r="L836" s="189"/>
      <c r="M836" s="138"/>
      <c r="N836" s="138"/>
      <c r="O836" s="138"/>
      <c r="S836" s="72"/>
      <c r="T836" s="72"/>
      <c r="U836" s="72"/>
      <c r="V836" s="72"/>
    </row>
    <row r="837" spans="1:22" s="63" customFormat="1" ht="22.5" x14ac:dyDescent="0.25">
      <c r="A837" s="84">
        <v>7.1260000000000003</v>
      </c>
      <c r="B837" s="81" t="s">
        <v>48</v>
      </c>
      <c r="C837" s="80">
        <v>50.3</v>
      </c>
      <c r="D837" s="131" t="s">
        <v>810</v>
      </c>
      <c r="E837" s="83" t="s">
        <v>811</v>
      </c>
      <c r="F837" s="81" t="s">
        <v>219</v>
      </c>
      <c r="G837" s="82">
        <v>4</v>
      </c>
      <c r="H837" s="85"/>
      <c r="I837" s="86">
        <v>1508.53</v>
      </c>
      <c r="J837" s="185">
        <f t="shared" si="104"/>
        <v>429.4</v>
      </c>
      <c r="K837" s="189">
        <f t="shared" si="105"/>
        <v>1717.6</v>
      </c>
      <c r="L837" s="189"/>
      <c r="M837" s="138"/>
      <c r="N837" s="138"/>
      <c r="O837" s="138"/>
      <c r="S837" s="72"/>
      <c r="T837" s="72"/>
      <c r="U837" s="72"/>
      <c r="V837" s="72"/>
    </row>
    <row r="838" spans="1:22" s="63" customFormat="1" ht="22.5" x14ac:dyDescent="0.25">
      <c r="A838" s="84">
        <v>7.1269999999999998</v>
      </c>
      <c r="B838" s="81" t="s">
        <v>48</v>
      </c>
      <c r="C838" s="80">
        <v>50.4</v>
      </c>
      <c r="D838" s="131" t="s">
        <v>812</v>
      </c>
      <c r="E838" s="83" t="s">
        <v>813</v>
      </c>
      <c r="F838" s="81" t="s">
        <v>219</v>
      </c>
      <c r="G838" s="82">
        <v>10</v>
      </c>
      <c r="H838" s="85"/>
      <c r="I838" s="86">
        <v>3164.83</v>
      </c>
      <c r="J838" s="185">
        <f t="shared" si="104"/>
        <v>360.35</v>
      </c>
      <c r="K838" s="189">
        <f t="shared" si="105"/>
        <v>3603.5</v>
      </c>
      <c r="L838" s="189"/>
      <c r="M838" s="138"/>
      <c r="N838" s="138"/>
      <c r="O838" s="138"/>
      <c r="S838" s="72"/>
      <c r="T838" s="72"/>
      <c r="U838" s="72"/>
      <c r="V838" s="72"/>
    </row>
    <row r="839" spans="1:22" s="63" customFormat="1" ht="22.5" x14ac:dyDescent="0.25">
      <c r="A839" s="84">
        <v>7.1280000000000001</v>
      </c>
      <c r="B839" s="81" t="s">
        <v>48</v>
      </c>
      <c r="C839" s="80">
        <v>50.5</v>
      </c>
      <c r="D839" s="131" t="s">
        <v>852</v>
      </c>
      <c r="E839" s="83" t="s">
        <v>853</v>
      </c>
      <c r="F839" s="81" t="s">
        <v>219</v>
      </c>
      <c r="G839" s="82">
        <v>36</v>
      </c>
      <c r="H839" s="85"/>
      <c r="I839" s="86">
        <v>11393.4</v>
      </c>
      <c r="J839" s="185">
        <f t="shared" si="104"/>
        <v>360.35</v>
      </c>
      <c r="K839" s="189">
        <f t="shared" si="105"/>
        <v>12972.6</v>
      </c>
      <c r="L839" s="189"/>
      <c r="M839" s="138"/>
      <c r="N839" s="138"/>
      <c r="O839" s="138"/>
      <c r="S839" s="72"/>
      <c r="T839" s="72"/>
      <c r="U839" s="72"/>
      <c r="V839" s="72"/>
    </row>
    <row r="840" spans="1:22" s="63" customFormat="1" ht="15" x14ac:dyDescent="0.25">
      <c r="A840" s="84">
        <v>7.1289999999999996</v>
      </c>
      <c r="B840" s="81" t="s">
        <v>48</v>
      </c>
      <c r="C840" s="82">
        <v>51</v>
      </c>
      <c r="D840" s="131" t="s">
        <v>854</v>
      </c>
      <c r="E840" s="83" t="s">
        <v>855</v>
      </c>
      <c r="F840" s="81" t="s">
        <v>566</v>
      </c>
      <c r="G840" s="80">
        <v>0.3</v>
      </c>
      <c r="H840" s="85"/>
      <c r="I840" s="86">
        <v>3172.67</v>
      </c>
      <c r="J840" s="185">
        <f t="shared" si="104"/>
        <v>12041.34</v>
      </c>
      <c r="K840" s="189">
        <f t="shared" si="105"/>
        <v>3612.4</v>
      </c>
      <c r="L840" s="189"/>
      <c r="M840" s="138"/>
      <c r="N840" s="138"/>
      <c r="O840" s="138"/>
      <c r="S840" s="72"/>
      <c r="T840" s="72"/>
      <c r="U840" s="72"/>
      <c r="V840" s="72"/>
    </row>
    <row r="841" spans="1:22" s="63" customFormat="1" ht="22.5" x14ac:dyDescent="0.25">
      <c r="A841" s="84">
        <v>7.13</v>
      </c>
      <c r="B841" s="81" t="s">
        <v>48</v>
      </c>
      <c r="C841" s="80">
        <v>51.1</v>
      </c>
      <c r="D841" s="131" t="s">
        <v>856</v>
      </c>
      <c r="E841" s="83" t="s">
        <v>857</v>
      </c>
      <c r="F841" s="81" t="s">
        <v>219</v>
      </c>
      <c r="G841" s="82">
        <v>3</v>
      </c>
      <c r="H841" s="85"/>
      <c r="I841" s="86">
        <v>92541.06</v>
      </c>
      <c r="J841" s="185">
        <f t="shared" si="104"/>
        <v>35122.42</v>
      </c>
      <c r="K841" s="189">
        <f t="shared" si="105"/>
        <v>105367.26</v>
      </c>
      <c r="L841" s="189"/>
      <c r="M841" s="138"/>
      <c r="N841" s="138"/>
      <c r="O841" s="138"/>
      <c r="S841" s="72"/>
      <c r="T841" s="72"/>
      <c r="U841" s="72"/>
      <c r="V841" s="72"/>
    </row>
    <row r="842" spans="1:22" s="63" customFormat="1" ht="22.5" x14ac:dyDescent="0.25">
      <c r="A842" s="84">
        <v>7.1310000000000002</v>
      </c>
      <c r="B842" s="81" t="s">
        <v>48</v>
      </c>
      <c r="C842" s="80">
        <v>51.2</v>
      </c>
      <c r="D842" s="131" t="s">
        <v>858</v>
      </c>
      <c r="E842" s="83" t="s">
        <v>859</v>
      </c>
      <c r="F842" s="81" t="s">
        <v>219</v>
      </c>
      <c r="G842" s="82">
        <v>3</v>
      </c>
      <c r="H842" s="85"/>
      <c r="I842" s="86">
        <v>820.78</v>
      </c>
      <c r="J842" s="185">
        <f t="shared" si="104"/>
        <v>311.51</v>
      </c>
      <c r="K842" s="189">
        <f t="shared" si="105"/>
        <v>934.53</v>
      </c>
      <c r="L842" s="189"/>
      <c r="M842" s="138"/>
      <c r="N842" s="138"/>
      <c r="O842" s="138"/>
      <c r="S842" s="72"/>
      <c r="T842" s="72"/>
      <c r="U842" s="72"/>
      <c r="V842" s="72"/>
    </row>
    <row r="843" spans="1:22" s="63" customFormat="1" ht="22.5" x14ac:dyDescent="0.25">
      <c r="A843" s="84">
        <v>7.1319999999999997</v>
      </c>
      <c r="B843" s="81" t="s">
        <v>48</v>
      </c>
      <c r="C843" s="82">
        <v>52</v>
      </c>
      <c r="D843" s="131" t="s">
        <v>860</v>
      </c>
      <c r="E843" s="83" t="s">
        <v>861</v>
      </c>
      <c r="F843" s="81" t="s">
        <v>219</v>
      </c>
      <c r="G843" s="82">
        <v>1</v>
      </c>
      <c r="H843" s="85"/>
      <c r="I843" s="86">
        <v>908.67</v>
      </c>
      <c r="J843" s="185">
        <f t="shared" si="104"/>
        <v>1034.6099999999999</v>
      </c>
      <c r="K843" s="189">
        <f t="shared" si="105"/>
        <v>1034.6099999999999</v>
      </c>
      <c r="L843" s="189"/>
      <c r="M843" s="138"/>
      <c r="N843" s="138"/>
      <c r="O843" s="138"/>
      <c r="S843" s="72"/>
      <c r="T843" s="72"/>
      <c r="U843" s="72"/>
      <c r="V843" s="72"/>
    </row>
    <row r="844" spans="1:22" s="63" customFormat="1" ht="22.5" x14ac:dyDescent="0.25">
      <c r="A844" s="108">
        <v>7.133</v>
      </c>
      <c r="B844" s="102" t="s">
        <v>48</v>
      </c>
      <c r="C844" s="103">
        <v>52.1</v>
      </c>
      <c r="D844" s="167" t="s">
        <v>862</v>
      </c>
      <c r="E844" s="104" t="s">
        <v>3501</v>
      </c>
      <c r="F844" s="102" t="s">
        <v>219</v>
      </c>
      <c r="G844" s="105">
        <v>1</v>
      </c>
      <c r="H844" s="106"/>
      <c r="I844" s="107">
        <v>13390.82</v>
      </c>
      <c r="J844" s="192">
        <f>ROUND($I844/$G844*$N$12,2)</f>
        <v>14977.63</v>
      </c>
      <c r="K844" s="193">
        <f t="shared" si="105"/>
        <v>14977.63</v>
      </c>
      <c r="L844" s="193"/>
      <c r="M844" s="138"/>
      <c r="N844" s="138"/>
      <c r="O844" s="138"/>
      <c r="S844" s="72"/>
      <c r="T844" s="72"/>
      <c r="U844" s="72"/>
      <c r="V844" s="72"/>
    </row>
    <row r="845" spans="1:22" s="63" customFormat="1" ht="22.5" x14ac:dyDescent="0.25">
      <c r="A845" s="84">
        <v>7.1340000000000003</v>
      </c>
      <c r="B845" s="81" t="s">
        <v>48</v>
      </c>
      <c r="C845" s="80">
        <v>52.2</v>
      </c>
      <c r="D845" s="131" t="s">
        <v>848</v>
      </c>
      <c r="E845" s="83" t="s">
        <v>849</v>
      </c>
      <c r="F845" s="81" t="s">
        <v>219</v>
      </c>
      <c r="G845" s="82">
        <v>2</v>
      </c>
      <c r="H845" s="85"/>
      <c r="I845" s="86">
        <v>722.83</v>
      </c>
      <c r="J845" s="185">
        <f t="shared" ref="J845:J850" si="106">ROUND($I845/$G845*$N$11,2)</f>
        <v>411.51</v>
      </c>
      <c r="K845" s="189">
        <f t="shared" si="105"/>
        <v>823.02</v>
      </c>
      <c r="L845" s="189"/>
      <c r="M845" s="138"/>
      <c r="N845" s="138"/>
      <c r="O845" s="138"/>
      <c r="S845" s="72"/>
      <c r="T845" s="72"/>
      <c r="U845" s="72"/>
      <c r="V845" s="72"/>
    </row>
    <row r="846" spans="1:22" s="63" customFormat="1" ht="15" x14ac:dyDescent="0.25">
      <c r="A846" s="84">
        <v>7.1349999999999998</v>
      </c>
      <c r="B846" s="81" t="s">
        <v>48</v>
      </c>
      <c r="C846" s="82">
        <v>53</v>
      </c>
      <c r="D846" s="131" t="s">
        <v>854</v>
      </c>
      <c r="E846" s="83" t="s">
        <v>855</v>
      </c>
      <c r="F846" s="81" t="s">
        <v>566</v>
      </c>
      <c r="G846" s="80">
        <v>0.1</v>
      </c>
      <c r="H846" s="85"/>
      <c r="I846" s="86">
        <v>1057.8599999999999</v>
      </c>
      <c r="J846" s="185">
        <f t="shared" si="106"/>
        <v>12044.79</v>
      </c>
      <c r="K846" s="189">
        <f t="shared" si="105"/>
        <v>1204.48</v>
      </c>
      <c r="L846" s="189"/>
      <c r="M846" s="138"/>
      <c r="N846" s="138"/>
      <c r="O846" s="138"/>
      <c r="S846" s="72"/>
      <c r="T846" s="72"/>
      <c r="U846" s="72"/>
      <c r="V846" s="72"/>
    </row>
    <row r="847" spans="1:22" s="63" customFormat="1" ht="22.5" x14ac:dyDescent="0.25">
      <c r="A847" s="84">
        <v>7.1360000000000001</v>
      </c>
      <c r="B847" s="81" t="s">
        <v>48</v>
      </c>
      <c r="C847" s="80">
        <v>53.1</v>
      </c>
      <c r="D847" s="131" t="s">
        <v>863</v>
      </c>
      <c r="E847" s="83" t="s">
        <v>864</v>
      </c>
      <c r="F847" s="81" t="s">
        <v>219</v>
      </c>
      <c r="G847" s="82">
        <v>1</v>
      </c>
      <c r="H847" s="85"/>
      <c r="I847" s="86">
        <v>1928.2</v>
      </c>
      <c r="J847" s="185">
        <f t="shared" si="106"/>
        <v>2195.4499999999998</v>
      </c>
      <c r="K847" s="189">
        <f t="shared" si="105"/>
        <v>2195.4499999999998</v>
      </c>
      <c r="L847" s="189"/>
      <c r="M847" s="138"/>
      <c r="N847" s="138"/>
      <c r="O847" s="138"/>
      <c r="S847" s="72"/>
      <c r="T847" s="72"/>
      <c r="U847" s="72"/>
      <c r="V847" s="72"/>
    </row>
    <row r="848" spans="1:22" s="63" customFormat="1" ht="22.5" x14ac:dyDescent="0.25">
      <c r="A848" s="84">
        <v>7.1369999999999996</v>
      </c>
      <c r="B848" s="81" t="s">
        <v>48</v>
      </c>
      <c r="C848" s="80">
        <v>53.2</v>
      </c>
      <c r="D848" s="131" t="s">
        <v>865</v>
      </c>
      <c r="E848" s="83" t="s">
        <v>866</v>
      </c>
      <c r="F848" s="81" t="s">
        <v>219</v>
      </c>
      <c r="G848" s="82">
        <v>2</v>
      </c>
      <c r="H848" s="85"/>
      <c r="I848" s="86">
        <v>817.32</v>
      </c>
      <c r="J848" s="185">
        <f t="shared" si="106"/>
        <v>465.3</v>
      </c>
      <c r="K848" s="189">
        <f t="shared" si="105"/>
        <v>930.6</v>
      </c>
      <c r="L848" s="189"/>
      <c r="M848" s="138"/>
      <c r="N848" s="138"/>
      <c r="O848" s="138"/>
      <c r="S848" s="72"/>
      <c r="T848" s="72"/>
      <c r="U848" s="72"/>
      <c r="V848" s="72"/>
    </row>
    <row r="849" spans="1:22" s="63" customFormat="1" ht="15" x14ac:dyDescent="0.25">
      <c r="A849" s="84">
        <v>7.1379999999999999</v>
      </c>
      <c r="B849" s="81" t="s">
        <v>48</v>
      </c>
      <c r="C849" s="82">
        <v>54</v>
      </c>
      <c r="D849" s="131" t="s">
        <v>867</v>
      </c>
      <c r="E849" s="83" t="s">
        <v>868</v>
      </c>
      <c r="F849" s="81" t="s">
        <v>219</v>
      </c>
      <c r="G849" s="82">
        <v>1</v>
      </c>
      <c r="H849" s="85"/>
      <c r="I849" s="86">
        <v>2424.65</v>
      </c>
      <c r="J849" s="185">
        <f t="shared" si="106"/>
        <v>2760.71</v>
      </c>
      <c r="K849" s="189">
        <f t="shared" si="105"/>
        <v>2760.71</v>
      </c>
      <c r="L849" s="189"/>
      <c r="M849" s="138"/>
      <c r="N849" s="138"/>
      <c r="O849" s="138"/>
      <c r="S849" s="72"/>
      <c r="T849" s="72"/>
      <c r="U849" s="72"/>
      <c r="V849" s="72"/>
    </row>
    <row r="850" spans="1:22" s="63" customFormat="1" ht="22.5" x14ac:dyDescent="0.25">
      <c r="A850" s="84">
        <v>7.1390000000000002</v>
      </c>
      <c r="B850" s="81" t="s">
        <v>48</v>
      </c>
      <c r="C850" s="80">
        <v>54.1</v>
      </c>
      <c r="D850" s="131" t="s">
        <v>869</v>
      </c>
      <c r="E850" s="83" t="s">
        <v>3502</v>
      </c>
      <c r="F850" s="81" t="s">
        <v>219</v>
      </c>
      <c r="G850" s="82">
        <v>1</v>
      </c>
      <c r="H850" s="85"/>
      <c r="I850" s="86">
        <v>3215.54</v>
      </c>
      <c r="J850" s="185">
        <f t="shared" si="106"/>
        <v>3661.21</v>
      </c>
      <c r="K850" s="189">
        <f t="shared" si="105"/>
        <v>3661.21</v>
      </c>
      <c r="L850" s="189"/>
      <c r="M850" s="138"/>
      <c r="N850" s="138"/>
      <c r="O850" s="138"/>
      <c r="S850" s="72"/>
      <c r="T850" s="72"/>
      <c r="U850" s="72"/>
      <c r="V850" s="72"/>
    </row>
    <row r="851" spans="1:22" s="128" customFormat="1" ht="12.75" x14ac:dyDescent="0.25">
      <c r="A851" s="242"/>
      <c r="B851" s="125"/>
      <c r="C851" s="236"/>
      <c r="D851" s="77"/>
      <c r="E851" s="126" t="s">
        <v>3280</v>
      </c>
      <c r="F851" s="125"/>
      <c r="G851" s="76"/>
      <c r="H851" s="127"/>
      <c r="I851" s="78"/>
      <c r="J851" s="238"/>
      <c r="K851" s="239"/>
      <c r="L851" s="239"/>
      <c r="M851" s="79"/>
      <c r="N851" s="79"/>
      <c r="O851" s="79"/>
      <c r="S851" s="129"/>
      <c r="T851" s="129"/>
      <c r="U851" s="129"/>
      <c r="V851" s="129"/>
    </row>
    <row r="852" spans="1:22" s="63" customFormat="1" ht="22.5" x14ac:dyDescent="0.25">
      <c r="A852" s="84">
        <v>7.14</v>
      </c>
      <c r="B852" s="81" t="s">
        <v>48</v>
      </c>
      <c r="C852" s="82">
        <v>55</v>
      </c>
      <c r="D852" s="131" t="s">
        <v>870</v>
      </c>
      <c r="E852" s="83" t="s">
        <v>871</v>
      </c>
      <c r="F852" s="81" t="s">
        <v>354</v>
      </c>
      <c r="G852" s="80">
        <v>0.9</v>
      </c>
      <c r="H852" s="85"/>
      <c r="I852" s="86">
        <v>67802.960000000006</v>
      </c>
      <c r="J852" s="185">
        <f t="shared" ref="J852:J862" si="107">ROUND($I852/$G852*$N$11,2)</f>
        <v>85778.28</v>
      </c>
      <c r="K852" s="189">
        <f t="shared" ref="K852:K866" si="108">ROUND(G852*J852,2)</f>
        <v>77200.45</v>
      </c>
      <c r="L852" s="189"/>
      <c r="M852" s="138"/>
      <c r="N852" s="138"/>
      <c r="O852" s="138"/>
      <c r="S852" s="72"/>
      <c r="T852" s="72"/>
      <c r="U852" s="72"/>
      <c r="V852" s="72"/>
    </row>
    <row r="853" spans="1:22" s="63" customFormat="1" ht="22.5" x14ac:dyDescent="0.25">
      <c r="A853" s="84">
        <v>7.141</v>
      </c>
      <c r="B853" s="81" t="s">
        <v>48</v>
      </c>
      <c r="C853" s="80">
        <v>55.1</v>
      </c>
      <c r="D853" s="131" t="s">
        <v>872</v>
      </c>
      <c r="E853" s="83" t="s">
        <v>873</v>
      </c>
      <c r="F853" s="81" t="s">
        <v>334</v>
      </c>
      <c r="G853" s="82">
        <v>90</v>
      </c>
      <c r="H853" s="85"/>
      <c r="I853" s="86">
        <v>26685.29</v>
      </c>
      <c r="J853" s="185">
        <f t="shared" si="107"/>
        <v>337.6</v>
      </c>
      <c r="K853" s="189">
        <f t="shared" si="108"/>
        <v>30384</v>
      </c>
      <c r="L853" s="189"/>
      <c r="M853" s="138"/>
      <c r="N853" s="138"/>
      <c r="O853" s="138"/>
      <c r="S853" s="72"/>
      <c r="T853" s="72"/>
      <c r="U853" s="72"/>
      <c r="V853" s="72"/>
    </row>
    <row r="854" spans="1:22" s="63" customFormat="1" ht="22.5" x14ac:dyDescent="0.25">
      <c r="A854" s="84">
        <v>7.1420000000000003</v>
      </c>
      <c r="B854" s="81" t="s">
        <v>48</v>
      </c>
      <c r="C854" s="80">
        <v>55.2</v>
      </c>
      <c r="D854" s="131" t="s">
        <v>679</v>
      </c>
      <c r="E854" s="83" t="s">
        <v>3491</v>
      </c>
      <c r="F854" s="81" t="s">
        <v>219</v>
      </c>
      <c r="G854" s="82">
        <v>18</v>
      </c>
      <c r="H854" s="85"/>
      <c r="I854" s="86">
        <v>470.91</v>
      </c>
      <c r="J854" s="185">
        <f t="shared" si="107"/>
        <v>29.79</v>
      </c>
      <c r="K854" s="189">
        <f t="shared" si="108"/>
        <v>536.22</v>
      </c>
      <c r="L854" s="189"/>
      <c r="M854" s="138"/>
      <c r="N854" s="138"/>
      <c r="O854" s="138"/>
      <c r="S854" s="72"/>
      <c r="T854" s="72"/>
      <c r="U854" s="72"/>
      <c r="V854" s="72"/>
    </row>
    <row r="855" spans="1:22" s="63" customFormat="1" ht="22.5" x14ac:dyDescent="0.25">
      <c r="A855" s="84">
        <v>7.1429999999999998</v>
      </c>
      <c r="B855" s="81" t="s">
        <v>48</v>
      </c>
      <c r="C855" s="80">
        <v>55.3</v>
      </c>
      <c r="D855" s="131" t="s">
        <v>874</v>
      </c>
      <c r="E855" s="83" t="s">
        <v>875</v>
      </c>
      <c r="F855" s="81" t="s">
        <v>219</v>
      </c>
      <c r="G855" s="82">
        <v>3</v>
      </c>
      <c r="H855" s="85"/>
      <c r="I855" s="86">
        <v>657.48</v>
      </c>
      <c r="J855" s="185">
        <f t="shared" si="107"/>
        <v>249.54</v>
      </c>
      <c r="K855" s="189">
        <f t="shared" si="108"/>
        <v>748.62</v>
      </c>
      <c r="L855" s="189"/>
      <c r="M855" s="138"/>
      <c r="N855" s="138"/>
      <c r="O855" s="138"/>
      <c r="S855" s="72"/>
      <c r="T855" s="72"/>
      <c r="U855" s="72"/>
      <c r="V855" s="72"/>
    </row>
    <row r="856" spans="1:22" s="63" customFormat="1" ht="22.5" x14ac:dyDescent="0.25">
      <c r="A856" s="84">
        <v>7.1440000000000001</v>
      </c>
      <c r="B856" s="81" t="s">
        <v>48</v>
      </c>
      <c r="C856" s="82">
        <v>56</v>
      </c>
      <c r="D856" s="131" t="s">
        <v>766</v>
      </c>
      <c r="E856" s="83" t="s">
        <v>767</v>
      </c>
      <c r="F856" s="81" t="s">
        <v>354</v>
      </c>
      <c r="G856" s="80">
        <v>0.9</v>
      </c>
      <c r="H856" s="85"/>
      <c r="I856" s="86">
        <v>7007.03</v>
      </c>
      <c r="J856" s="185">
        <f t="shared" si="107"/>
        <v>8864.67</v>
      </c>
      <c r="K856" s="189">
        <f t="shared" si="108"/>
        <v>7978.2</v>
      </c>
      <c r="L856" s="189"/>
      <c r="M856" s="138"/>
      <c r="N856" s="138"/>
      <c r="O856" s="138"/>
      <c r="S856" s="72"/>
      <c r="T856" s="72"/>
      <c r="U856" s="72"/>
      <c r="V856" s="72"/>
    </row>
    <row r="857" spans="1:22" s="63" customFormat="1" ht="15" x14ac:dyDescent="0.25">
      <c r="A857" s="84">
        <v>7.1449999999999996</v>
      </c>
      <c r="B857" s="81" t="s">
        <v>48</v>
      </c>
      <c r="C857" s="82">
        <v>57</v>
      </c>
      <c r="D857" s="131" t="s">
        <v>741</v>
      </c>
      <c r="E857" s="83" t="s">
        <v>742</v>
      </c>
      <c r="F857" s="81" t="s">
        <v>219</v>
      </c>
      <c r="G857" s="82">
        <v>2</v>
      </c>
      <c r="H857" s="85"/>
      <c r="I857" s="86">
        <v>2470.63</v>
      </c>
      <c r="J857" s="185">
        <f t="shared" si="107"/>
        <v>1406.53</v>
      </c>
      <c r="K857" s="189">
        <f t="shared" si="108"/>
        <v>2813.06</v>
      </c>
      <c r="L857" s="189"/>
      <c r="M857" s="138"/>
      <c r="N857" s="138"/>
      <c r="O857" s="138"/>
      <c r="S857" s="72"/>
      <c r="T857" s="72"/>
      <c r="U857" s="72"/>
      <c r="V857" s="72"/>
    </row>
    <row r="858" spans="1:22" s="63" customFormat="1" ht="22.5" x14ac:dyDescent="0.25">
      <c r="A858" s="84">
        <v>7.1459999999999999</v>
      </c>
      <c r="B858" s="81" t="s">
        <v>48</v>
      </c>
      <c r="C858" s="80">
        <v>57.1</v>
      </c>
      <c r="D858" s="131" t="s">
        <v>806</v>
      </c>
      <c r="E858" s="83" t="s">
        <v>807</v>
      </c>
      <c r="F858" s="81" t="s">
        <v>219</v>
      </c>
      <c r="G858" s="82">
        <v>2</v>
      </c>
      <c r="H858" s="85"/>
      <c r="I858" s="86">
        <v>4316.21</v>
      </c>
      <c r="J858" s="185">
        <f t="shared" si="107"/>
        <v>2457.2199999999998</v>
      </c>
      <c r="K858" s="189">
        <f t="shared" si="108"/>
        <v>4914.4399999999996</v>
      </c>
      <c r="L858" s="189"/>
      <c r="M858" s="138"/>
      <c r="N858" s="138"/>
      <c r="O858" s="138"/>
      <c r="S858" s="72"/>
      <c r="T858" s="72"/>
      <c r="U858" s="72"/>
      <c r="V858" s="72"/>
    </row>
    <row r="859" spans="1:22" s="63" customFormat="1" ht="15" x14ac:dyDescent="0.25">
      <c r="A859" s="84">
        <v>7.1470000000000002</v>
      </c>
      <c r="B859" s="81" t="s">
        <v>48</v>
      </c>
      <c r="C859" s="82">
        <v>58</v>
      </c>
      <c r="D859" s="131" t="s">
        <v>876</v>
      </c>
      <c r="E859" s="83" t="s">
        <v>877</v>
      </c>
      <c r="F859" s="81" t="s">
        <v>219</v>
      </c>
      <c r="G859" s="82">
        <v>10</v>
      </c>
      <c r="H859" s="85"/>
      <c r="I859" s="86">
        <v>47956.44</v>
      </c>
      <c r="J859" s="185">
        <f t="shared" si="107"/>
        <v>5460.32</v>
      </c>
      <c r="K859" s="189">
        <f t="shared" si="108"/>
        <v>54603.199999999997</v>
      </c>
      <c r="L859" s="189"/>
      <c r="M859" s="138"/>
      <c r="N859" s="138"/>
      <c r="O859" s="138"/>
      <c r="S859" s="72"/>
      <c r="T859" s="72"/>
      <c r="U859" s="72"/>
      <c r="V859" s="72"/>
    </row>
    <row r="860" spans="1:22" s="63" customFormat="1" ht="22.5" x14ac:dyDescent="0.25">
      <c r="A860" s="84">
        <v>7.1479999999999997</v>
      </c>
      <c r="B860" s="81" t="s">
        <v>48</v>
      </c>
      <c r="C860" s="80">
        <v>58.1</v>
      </c>
      <c r="D860" s="131" t="s">
        <v>878</v>
      </c>
      <c r="E860" s="83" t="s">
        <v>879</v>
      </c>
      <c r="F860" s="81" t="s">
        <v>334</v>
      </c>
      <c r="G860" s="82">
        <v>100</v>
      </c>
      <c r="H860" s="85"/>
      <c r="I860" s="86">
        <v>9492.7199999999993</v>
      </c>
      <c r="J860" s="185">
        <f t="shared" si="107"/>
        <v>108.08</v>
      </c>
      <c r="K860" s="189">
        <f t="shared" si="108"/>
        <v>10808</v>
      </c>
      <c r="L860" s="189"/>
      <c r="M860" s="138"/>
      <c r="N860" s="138"/>
      <c r="O860" s="138"/>
      <c r="S860" s="72"/>
      <c r="T860" s="72"/>
      <c r="U860" s="72"/>
      <c r="V860" s="72"/>
    </row>
    <row r="861" spans="1:22" s="63" customFormat="1" ht="15" x14ac:dyDescent="0.25">
      <c r="A861" s="84">
        <v>7.149</v>
      </c>
      <c r="B861" s="81" t="s">
        <v>48</v>
      </c>
      <c r="C861" s="82">
        <v>59</v>
      </c>
      <c r="D861" s="131" t="s">
        <v>880</v>
      </c>
      <c r="E861" s="83" t="s">
        <v>881</v>
      </c>
      <c r="F861" s="81" t="s">
        <v>216</v>
      </c>
      <c r="G861" s="80">
        <v>0.1</v>
      </c>
      <c r="H861" s="85"/>
      <c r="I861" s="86">
        <v>8732.98</v>
      </c>
      <c r="J861" s="185">
        <f t="shared" si="107"/>
        <v>99433.71</v>
      </c>
      <c r="K861" s="189">
        <f t="shared" si="108"/>
        <v>9943.3700000000008</v>
      </c>
      <c r="L861" s="189"/>
      <c r="M861" s="138"/>
      <c r="N861" s="138"/>
      <c r="O861" s="138"/>
      <c r="S861" s="72"/>
      <c r="T861" s="72"/>
      <c r="U861" s="72"/>
      <c r="V861" s="72"/>
    </row>
    <row r="862" spans="1:22" s="63" customFormat="1" ht="22.5" x14ac:dyDescent="0.25">
      <c r="A862" s="84">
        <v>7.15</v>
      </c>
      <c r="B862" s="81" t="s">
        <v>48</v>
      </c>
      <c r="C862" s="80">
        <v>59.1</v>
      </c>
      <c r="D862" s="131" t="s">
        <v>882</v>
      </c>
      <c r="E862" s="83" t="s">
        <v>883</v>
      </c>
      <c r="F862" s="81" t="s">
        <v>219</v>
      </c>
      <c r="G862" s="82">
        <v>10</v>
      </c>
      <c r="H862" s="85"/>
      <c r="I862" s="86">
        <v>23302.9</v>
      </c>
      <c r="J862" s="185">
        <f t="shared" si="107"/>
        <v>2653.27</v>
      </c>
      <c r="K862" s="189">
        <f t="shared" si="108"/>
        <v>26532.7</v>
      </c>
      <c r="L862" s="189"/>
      <c r="M862" s="138"/>
      <c r="N862" s="138"/>
      <c r="O862" s="138"/>
      <c r="S862" s="72"/>
      <c r="T862" s="72"/>
      <c r="U862" s="72"/>
      <c r="V862" s="72"/>
    </row>
    <row r="863" spans="1:22" s="63" customFormat="1" ht="33.75" x14ac:dyDescent="0.25">
      <c r="A863" s="108">
        <v>7.1509999999999998</v>
      </c>
      <c r="B863" s="102" t="s">
        <v>48</v>
      </c>
      <c r="C863" s="103">
        <v>59.2</v>
      </c>
      <c r="D863" s="167" t="s">
        <v>884</v>
      </c>
      <c r="E863" s="104" t="s">
        <v>3503</v>
      </c>
      <c r="F863" s="102" t="s">
        <v>219</v>
      </c>
      <c r="G863" s="105">
        <v>20</v>
      </c>
      <c r="H863" s="106"/>
      <c r="I863" s="107">
        <v>25653.33</v>
      </c>
      <c r="J863" s="192">
        <f>ROUND($I863/$G863*$N$12,2)</f>
        <v>1434.66</v>
      </c>
      <c r="K863" s="193">
        <f t="shared" si="108"/>
        <v>28693.200000000001</v>
      </c>
      <c r="L863" s="193"/>
      <c r="M863" s="138"/>
      <c r="N863" s="138"/>
      <c r="O863" s="138"/>
      <c r="S863" s="72"/>
      <c r="T863" s="72"/>
      <c r="U863" s="72"/>
      <c r="V863" s="72"/>
    </row>
    <row r="864" spans="1:22" s="63" customFormat="1" ht="22.5" x14ac:dyDescent="0.25">
      <c r="A864" s="108">
        <v>7.1520000000000001</v>
      </c>
      <c r="B864" s="102" t="s">
        <v>48</v>
      </c>
      <c r="C864" s="103">
        <v>59.3</v>
      </c>
      <c r="D864" s="167" t="s">
        <v>885</v>
      </c>
      <c r="E864" s="104" t="s">
        <v>3504</v>
      </c>
      <c r="F864" s="102" t="s">
        <v>219</v>
      </c>
      <c r="G864" s="105">
        <v>10</v>
      </c>
      <c r="H864" s="106"/>
      <c r="I864" s="107">
        <v>12381.05</v>
      </c>
      <c r="J864" s="192">
        <f>ROUND($I864/$G864*$N$12,2)</f>
        <v>1384.82</v>
      </c>
      <c r="K864" s="193">
        <f t="shared" si="108"/>
        <v>13848.2</v>
      </c>
      <c r="L864" s="193"/>
      <c r="M864" s="138"/>
      <c r="N864" s="138"/>
      <c r="O864" s="138"/>
      <c r="S864" s="72"/>
      <c r="T864" s="72"/>
      <c r="U864" s="72"/>
      <c r="V864" s="72"/>
    </row>
    <row r="865" spans="1:22" s="63" customFormat="1" ht="15" x14ac:dyDescent="0.25">
      <c r="A865" s="84">
        <v>7.1529999999999996</v>
      </c>
      <c r="B865" s="81" t="s">
        <v>48</v>
      </c>
      <c r="C865" s="82">
        <v>60</v>
      </c>
      <c r="D865" s="131" t="s">
        <v>341</v>
      </c>
      <c r="E865" s="83" t="s">
        <v>342</v>
      </c>
      <c r="F865" s="81" t="s">
        <v>207</v>
      </c>
      <c r="G865" s="87">
        <v>0.25</v>
      </c>
      <c r="H865" s="85"/>
      <c r="I865" s="86">
        <v>1866.49</v>
      </c>
      <c r="J865" s="185">
        <f>ROUND($I865/$G865*$N$11,2)</f>
        <v>8500.74</v>
      </c>
      <c r="K865" s="189">
        <f t="shared" si="108"/>
        <v>2125.19</v>
      </c>
      <c r="L865" s="189"/>
      <c r="M865" s="138"/>
      <c r="N865" s="138"/>
      <c r="O865" s="138"/>
      <c r="S865" s="72"/>
      <c r="T865" s="72"/>
      <c r="U865" s="72"/>
      <c r="V865" s="72"/>
    </row>
    <row r="866" spans="1:22" s="63" customFormat="1" ht="22.5" x14ac:dyDescent="0.25">
      <c r="A866" s="84">
        <v>7.1539999999999999</v>
      </c>
      <c r="B866" s="81" t="s">
        <v>48</v>
      </c>
      <c r="C866" s="82">
        <v>61</v>
      </c>
      <c r="D866" s="131" t="s">
        <v>768</v>
      </c>
      <c r="E866" s="83" t="s">
        <v>769</v>
      </c>
      <c r="F866" s="81" t="s">
        <v>207</v>
      </c>
      <c r="G866" s="87">
        <v>0.25</v>
      </c>
      <c r="H866" s="85"/>
      <c r="I866" s="86">
        <v>2639.02</v>
      </c>
      <c r="J866" s="185">
        <f>ROUND($I866/$G866*$N$11,2)</f>
        <v>12019.15</v>
      </c>
      <c r="K866" s="189">
        <f t="shared" si="108"/>
        <v>3004.79</v>
      </c>
      <c r="L866" s="189"/>
      <c r="M866" s="138"/>
      <c r="N866" s="138"/>
      <c r="O866" s="138"/>
      <c r="S866" s="72"/>
      <c r="T866" s="72"/>
      <c r="U866" s="72"/>
      <c r="V866" s="72"/>
    </row>
    <row r="867" spans="1:22" s="128" customFormat="1" ht="12.75" x14ac:dyDescent="0.25">
      <c r="A867" s="242"/>
      <c r="B867" s="125"/>
      <c r="C867" s="76"/>
      <c r="D867" s="77"/>
      <c r="E867" s="126" t="s">
        <v>3281</v>
      </c>
      <c r="F867" s="125"/>
      <c r="G867" s="237"/>
      <c r="H867" s="127"/>
      <c r="I867" s="78"/>
      <c r="J867" s="238"/>
      <c r="K867" s="239"/>
      <c r="L867" s="239"/>
      <c r="M867" s="79"/>
      <c r="N867" s="79"/>
      <c r="O867" s="79"/>
      <c r="S867" s="129"/>
      <c r="T867" s="129"/>
      <c r="U867" s="129"/>
      <c r="V867" s="129"/>
    </row>
    <row r="868" spans="1:22" s="63" customFormat="1" ht="15" x14ac:dyDescent="0.25">
      <c r="A868" s="84">
        <v>7.1550000000000002</v>
      </c>
      <c r="B868" s="81" t="s">
        <v>48</v>
      </c>
      <c r="C868" s="82">
        <v>62</v>
      </c>
      <c r="D868" s="131" t="s">
        <v>886</v>
      </c>
      <c r="E868" s="83" t="s">
        <v>887</v>
      </c>
      <c r="F868" s="81" t="s">
        <v>687</v>
      </c>
      <c r="G868" s="80">
        <v>0.2</v>
      </c>
      <c r="H868" s="85"/>
      <c r="I868" s="86">
        <v>13286.44</v>
      </c>
      <c r="J868" s="185">
        <f t="shared" ref="J868:J915" si="109">ROUND($I868/$G868*$N$11,2)</f>
        <v>75639.7</v>
      </c>
      <c r="K868" s="189">
        <f t="shared" ref="K868:K915" si="110">ROUND(G868*J868,2)</f>
        <v>15127.94</v>
      </c>
      <c r="L868" s="189"/>
      <c r="M868" s="138"/>
      <c r="N868" s="138"/>
      <c r="O868" s="138"/>
      <c r="S868" s="72"/>
      <c r="T868" s="72"/>
      <c r="U868" s="72"/>
      <c r="V868" s="72"/>
    </row>
    <row r="869" spans="1:22" s="63" customFormat="1" ht="22.5" x14ac:dyDescent="0.25">
      <c r="A869" s="84">
        <v>7.1559999999999997</v>
      </c>
      <c r="B869" s="81" t="s">
        <v>48</v>
      </c>
      <c r="C869" s="80">
        <v>62.1</v>
      </c>
      <c r="D869" s="131" t="s">
        <v>542</v>
      </c>
      <c r="E869" s="83" t="s">
        <v>543</v>
      </c>
      <c r="F869" s="81" t="s">
        <v>216</v>
      </c>
      <c r="G869" s="87">
        <v>0.12</v>
      </c>
      <c r="H869" s="85"/>
      <c r="I869" s="86">
        <v>41.56</v>
      </c>
      <c r="J869" s="185">
        <f t="shared" si="109"/>
        <v>394.34</v>
      </c>
      <c r="K869" s="189">
        <f t="shared" si="110"/>
        <v>47.32</v>
      </c>
      <c r="L869" s="189"/>
      <c r="M869" s="138"/>
      <c r="N869" s="138"/>
      <c r="O869" s="138"/>
      <c r="S869" s="72"/>
      <c r="T869" s="72"/>
      <c r="U869" s="72"/>
      <c r="V869" s="72"/>
    </row>
    <row r="870" spans="1:22" s="63" customFormat="1" ht="22.5" x14ac:dyDescent="0.25">
      <c r="A870" s="84">
        <v>7.157</v>
      </c>
      <c r="B870" s="81" t="s">
        <v>48</v>
      </c>
      <c r="C870" s="80">
        <v>62.2</v>
      </c>
      <c r="D870" s="131" t="s">
        <v>888</v>
      </c>
      <c r="E870" s="83" t="s">
        <v>889</v>
      </c>
      <c r="F870" s="81" t="s">
        <v>226</v>
      </c>
      <c r="G870" s="88">
        <v>2.0000000000000001E-4</v>
      </c>
      <c r="H870" s="85"/>
      <c r="I870" s="86">
        <v>93.86</v>
      </c>
      <c r="J870" s="185">
        <f t="shared" si="109"/>
        <v>534344.98</v>
      </c>
      <c r="K870" s="189">
        <f t="shared" si="110"/>
        <v>106.87</v>
      </c>
      <c r="L870" s="189"/>
      <c r="M870" s="138"/>
      <c r="N870" s="138"/>
      <c r="O870" s="138"/>
      <c r="S870" s="72"/>
      <c r="T870" s="72"/>
      <c r="U870" s="72"/>
      <c r="V870" s="72"/>
    </row>
    <row r="871" spans="1:22" s="63" customFormat="1" ht="33.75" x14ac:dyDescent="0.25">
      <c r="A871" s="84">
        <v>7.1580000000000004</v>
      </c>
      <c r="B871" s="81" t="s">
        <v>48</v>
      </c>
      <c r="C871" s="80">
        <v>62.3</v>
      </c>
      <c r="D871" s="131" t="s">
        <v>890</v>
      </c>
      <c r="E871" s="83" t="s">
        <v>891</v>
      </c>
      <c r="F871" s="81" t="s">
        <v>491</v>
      </c>
      <c r="G871" s="82">
        <v>2</v>
      </c>
      <c r="H871" s="85"/>
      <c r="I871" s="86">
        <v>16658.7</v>
      </c>
      <c r="J871" s="185">
        <f t="shared" si="109"/>
        <v>9483.7999999999993</v>
      </c>
      <c r="K871" s="189">
        <f t="shared" si="110"/>
        <v>18967.599999999999</v>
      </c>
      <c r="L871" s="189"/>
      <c r="M871" s="138"/>
      <c r="N871" s="138"/>
      <c r="O871" s="138"/>
      <c r="S871" s="72"/>
      <c r="T871" s="72"/>
      <c r="U871" s="72"/>
      <c r="V871" s="72"/>
    </row>
    <row r="872" spans="1:22" s="63" customFormat="1" ht="15" x14ac:dyDescent="0.25">
      <c r="A872" s="84">
        <v>7.1589999999999998</v>
      </c>
      <c r="B872" s="81" t="s">
        <v>48</v>
      </c>
      <c r="C872" s="82">
        <v>63</v>
      </c>
      <c r="D872" s="131" t="s">
        <v>892</v>
      </c>
      <c r="E872" s="83" t="s">
        <v>893</v>
      </c>
      <c r="F872" s="81" t="s">
        <v>687</v>
      </c>
      <c r="G872" s="80">
        <v>3.4</v>
      </c>
      <c r="H872" s="85"/>
      <c r="I872" s="86">
        <v>89979.9</v>
      </c>
      <c r="J872" s="185">
        <f t="shared" si="109"/>
        <v>30132.68</v>
      </c>
      <c r="K872" s="189">
        <f t="shared" si="110"/>
        <v>102451.11</v>
      </c>
      <c r="L872" s="189"/>
      <c r="M872" s="138"/>
      <c r="N872" s="138"/>
      <c r="O872" s="138"/>
      <c r="S872" s="72"/>
      <c r="T872" s="72"/>
      <c r="U872" s="72"/>
      <c r="V872" s="72"/>
    </row>
    <row r="873" spans="1:22" s="63" customFormat="1" ht="22.5" x14ac:dyDescent="0.25">
      <c r="A873" s="84">
        <v>7.16</v>
      </c>
      <c r="B873" s="81" t="s">
        <v>48</v>
      </c>
      <c r="C873" s="80">
        <v>63.1</v>
      </c>
      <c r="D873" s="131" t="s">
        <v>542</v>
      </c>
      <c r="E873" s="83" t="s">
        <v>543</v>
      </c>
      <c r="F873" s="81" t="s">
        <v>216</v>
      </c>
      <c r="G873" s="87">
        <v>1.36</v>
      </c>
      <c r="H873" s="85"/>
      <c r="I873" s="86">
        <v>471</v>
      </c>
      <c r="J873" s="185">
        <f t="shared" si="109"/>
        <v>394.32</v>
      </c>
      <c r="K873" s="189">
        <f t="shared" si="110"/>
        <v>536.28</v>
      </c>
      <c r="L873" s="189"/>
      <c r="M873" s="138"/>
      <c r="N873" s="138"/>
      <c r="O873" s="138"/>
      <c r="S873" s="72"/>
      <c r="T873" s="72"/>
      <c r="U873" s="72"/>
      <c r="V873" s="72"/>
    </row>
    <row r="874" spans="1:22" s="63" customFormat="1" ht="22.5" x14ac:dyDescent="0.25">
      <c r="A874" s="84">
        <v>7.1609999999999996</v>
      </c>
      <c r="B874" s="81" t="s">
        <v>48</v>
      </c>
      <c r="C874" s="80">
        <v>63.2</v>
      </c>
      <c r="D874" s="131" t="s">
        <v>888</v>
      </c>
      <c r="E874" s="83" t="s">
        <v>889</v>
      </c>
      <c r="F874" s="81" t="s">
        <v>226</v>
      </c>
      <c r="G874" s="88">
        <v>2.3999999999999998E-3</v>
      </c>
      <c r="H874" s="85"/>
      <c r="I874" s="86">
        <v>1126.25</v>
      </c>
      <c r="J874" s="185">
        <f t="shared" si="109"/>
        <v>534311.77</v>
      </c>
      <c r="K874" s="189">
        <f t="shared" si="110"/>
        <v>1282.3499999999999</v>
      </c>
      <c r="L874" s="189"/>
      <c r="M874" s="138"/>
      <c r="N874" s="138"/>
      <c r="O874" s="138"/>
      <c r="S874" s="72"/>
      <c r="T874" s="72"/>
      <c r="U874" s="72"/>
      <c r="V874" s="72"/>
    </row>
    <row r="875" spans="1:22" s="63" customFormat="1" ht="22.5" x14ac:dyDescent="0.25">
      <c r="A875" s="84">
        <v>7.1619999999999999</v>
      </c>
      <c r="B875" s="81" t="s">
        <v>48</v>
      </c>
      <c r="C875" s="80">
        <v>63.3</v>
      </c>
      <c r="D875" s="131" t="s">
        <v>894</v>
      </c>
      <c r="E875" s="83" t="s">
        <v>3505</v>
      </c>
      <c r="F875" s="81" t="s">
        <v>219</v>
      </c>
      <c r="G875" s="82">
        <v>34</v>
      </c>
      <c r="H875" s="85"/>
      <c r="I875" s="86">
        <v>79925.59</v>
      </c>
      <c r="J875" s="185">
        <f t="shared" si="109"/>
        <v>2676.57</v>
      </c>
      <c r="K875" s="189">
        <f t="shared" si="110"/>
        <v>91003.38</v>
      </c>
      <c r="L875" s="189"/>
      <c r="M875" s="138"/>
      <c r="N875" s="138"/>
      <c r="O875" s="138"/>
      <c r="S875" s="72"/>
      <c r="T875" s="72"/>
      <c r="U875" s="72"/>
      <c r="V875" s="72"/>
    </row>
    <row r="876" spans="1:22" s="63" customFormat="1" ht="22.5" x14ac:dyDescent="0.25">
      <c r="A876" s="84">
        <v>7.1630000000000003</v>
      </c>
      <c r="B876" s="81" t="s">
        <v>48</v>
      </c>
      <c r="C876" s="80">
        <v>63.4</v>
      </c>
      <c r="D876" s="131" t="s">
        <v>895</v>
      </c>
      <c r="E876" s="83" t="s">
        <v>896</v>
      </c>
      <c r="F876" s="81" t="s">
        <v>219</v>
      </c>
      <c r="G876" s="82">
        <v>34</v>
      </c>
      <c r="H876" s="85"/>
      <c r="I876" s="86">
        <v>35378.99</v>
      </c>
      <c r="J876" s="185">
        <f t="shared" si="109"/>
        <v>1184.78</v>
      </c>
      <c r="K876" s="189">
        <f t="shared" si="110"/>
        <v>40282.519999999997</v>
      </c>
      <c r="L876" s="189"/>
      <c r="M876" s="138"/>
      <c r="N876" s="138"/>
      <c r="O876" s="138"/>
      <c r="S876" s="72"/>
      <c r="T876" s="72"/>
      <c r="U876" s="72"/>
      <c r="V876" s="72"/>
    </row>
    <row r="877" spans="1:22" s="63" customFormat="1" ht="22.5" x14ac:dyDescent="0.25">
      <c r="A877" s="84">
        <v>7.1639999999999997</v>
      </c>
      <c r="B877" s="81" t="s">
        <v>48</v>
      </c>
      <c r="C877" s="80">
        <v>63.5</v>
      </c>
      <c r="D877" s="131" t="s">
        <v>897</v>
      </c>
      <c r="E877" s="83" t="s">
        <v>898</v>
      </c>
      <c r="F877" s="81" t="s">
        <v>491</v>
      </c>
      <c r="G877" s="82">
        <v>34</v>
      </c>
      <c r="H877" s="85"/>
      <c r="I877" s="86">
        <v>6325.22</v>
      </c>
      <c r="J877" s="185">
        <f t="shared" si="109"/>
        <v>211.82</v>
      </c>
      <c r="K877" s="189">
        <f t="shared" si="110"/>
        <v>7201.88</v>
      </c>
      <c r="L877" s="189"/>
      <c r="M877" s="138"/>
      <c r="N877" s="138"/>
      <c r="O877" s="138"/>
      <c r="S877" s="72"/>
      <c r="T877" s="72"/>
      <c r="U877" s="72"/>
      <c r="V877" s="72"/>
    </row>
    <row r="878" spans="1:22" s="63" customFormat="1" ht="22.5" x14ac:dyDescent="0.25">
      <c r="A878" s="84">
        <v>7.165</v>
      </c>
      <c r="B878" s="81" t="s">
        <v>48</v>
      </c>
      <c r="C878" s="80">
        <v>63.6</v>
      </c>
      <c r="D878" s="131" t="s">
        <v>899</v>
      </c>
      <c r="E878" s="83" t="s">
        <v>900</v>
      </c>
      <c r="F878" s="81" t="s">
        <v>566</v>
      </c>
      <c r="G878" s="80">
        <v>3.4</v>
      </c>
      <c r="H878" s="85"/>
      <c r="I878" s="86">
        <v>3450.95</v>
      </c>
      <c r="J878" s="185">
        <f t="shared" si="109"/>
        <v>1155.6600000000001</v>
      </c>
      <c r="K878" s="189">
        <f t="shared" si="110"/>
        <v>3929.24</v>
      </c>
      <c r="L878" s="189"/>
      <c r="M878" s="138"/>
      <c r="N878" s="138"/>
      <c r="O878" s="138"/>
      <c r="S878" s="72"/>
      <c r="T878" s="72"/>
      <c r="U878" s="72"/>
      <c r="V878" s="72"/>
    </row>
    <row r="879" spans="1:22" s="63" customFormat="1" ht="22.5" x14ac:dyDescent="0.25">
      <c r="A879" s="84">
        <v>7.1660000000000004</v>
      </c>
      <c r="B879" s="81" t="s">
        <v>48</v>
      </c>
      <c r="C879" s="80">
        <v>63.7</v>
      </c>
      <c r="D879" s="131" t="s">
        <v>901</v>
      </c>
      <c r="E879" s="83" t="s">
        <v>902</v>
      </c>
      <c r="F879" s="81" t="s">
        <v>219</v>
      </c>
      <c r="G879" s="82">
        <v>34</v>
      </c>
      <c r="H879" s="85"/>
      <c r="I879" s="86">
        <v>10633.62</v>
      </c>
      <c r="J879" s="185">
        <f t="shared" si="109"/>
        <v>356.1</v>
      </c>
      <c r="K879" s="189">
        <f t="shared" si="110"/>
        <v>12107.4</v>
      </c>
      <c r="L879" s="189"/>
      <c r="M879" s="138"/>
      <c r="N879" s="138"/>
      <c r="O879" s="138"/>
      <c r="S879" s="72"/>
      <c r="T879" s="72"/>
      <c r="U879" s="72"/>
      <c r="V879" s="72"/>
    </row>
    <row r="880" spans="1:22" s="63" customFormat="1" ht="15" x14ac:dyDescent="0.25">
      <c r="A880" s="84">
        <v>7.1669999999999998</v>
      </c>
      <c r="B880" s="81" t="s">
        <v>48</v>
      </c>
      <c r="C880" s="82">
        <v>64</v>
      </c>
      <c r="D880" s="131" t="s">
        <v>903</v>
      </c>
      <c r="E880" s="83" t="s">
        <v>904</v>
      </c>
      <c r="F880" s="81" t="s">
        <v>687</v>
      </c>
      <c r="G880" s="80">
        <v>0.8</v>
      </c>
      <c r="H880" s="85"/>
      <c r="I880" s="86">
        <v>12112.38</v>
      </c>
      <c r="J880" s="185">
        <f t="shared" si="109"/>
        <v>17238.939999999999</v>
      </c>
      <c r="K880" s="189">
        <f t="shared" si="110"/>
        <v>13791.15</v>
      </c>
      <c r="L880" s="189"/>
      <c r="M880" s="138"/>
      <c r="N880" s="138"/>
      <c r="O880" s="138"/>
      <c r="S880" s="72"/>
      <c r="T880" s="72"/>
      <c r="U880" s="72"/>
      <c r="V880" s="72"/>
    </row>
    <row r="881" spans="1:22" s="63" customFormat="1" ht="22.5" x14ac:dyDescent="0.25">
      <c r="A881" s="84">
        <v>7.1680000000000001</v>
      </c>
      <c r="B881" s="81" t="s">
        <v>48</v>
      </c>
      <c r="C881" s="80">
        <v>64.099999999999994</v>
      </c>
      <c r="D881" s="131" t="s">
        <v>905</v>
      </c>
      <c r="E881" s="83" t="s">
        <v>3506</v>
      </c>
      <c r="F881" s="81" t="s">
        <v>219</v>
      </c>
      <c r="G881" s="82">
        <v>2</v>
      </c>
      <c r="H881" s="85"/>
      <c r="I881" s="86">
        <v>13676.98</v>
      </c>
      <c r="J881" s="185">
        <f t="shared" si="109"/>
        <v>7786.3</v>
      </c>
      <c r="K881" s="189">
        <f t="shared" si="110"/>
        <v>15572.6</v>
      </c>
      <c r="L881" s="189"/>
      <c r="M881" s="138"/>
      <c r="N881" s="138"/>
      <c r="O881" s="138"/>
      <c r="S881" s="72"/>
      <c r="T881" s="72"/>
      <c r="U881" s="72"/>
      <c r="V881" s="72"/>
    </row>
    <row r="882" spans="1:22" s="63" customFormat="1" ht="22.5" x14ac:dyDescent="0.25">
      <c r="A882" s="84">
        <v>7.1689999999999996</v>
      </c>
      <c r="B882" s="81" t="s">
        <v>48</v>
      </c>
      <c r="C882" s="80">
        <v>64.2</v>
      </c>
      <c r="D882" s="131" t="s">
        <v>906</v>
      </c>
      <c r="E882" s="83" t="s">
        <v>3507</v>
      </c>
      <c r="F882" s="81" t="s">
        <v>219</v>
      </c>
      <c r="G882" s="82">
        <v>6</v>
      </c>
      <c r="H882" s="85"/>
      <c r="I882" s="86">
        <v>52250.63</v>
      </c>
      <c r="J882" s="185">
        <f t="shared" si="109"/>
        <v>9915.43</v>
      </c>
      <c r="K882" s="189">
        <f t="shared" si="110"/>
        <v>59492.58</v>
      </c>
      <c r="L882" s="189"/>
      <c r="M882" s="138"/>
      <c r="N882" s="138"/>
      <c r="O882" s="138"/>
      <c r="S882" s="72"/>
      <c r="T882" s="72"/>
      <c r="U882" s="72"/>
      <c r="V882" s="72"/>
    </row>
    <row r="883" spans="1:22" s="63" customFormat="1" ht="22.5" x14ac:dyDescent="0.25">
      <c r="A883" s="84">
        <v>7.17</v>
      </c>
      <c r="B883" s="81" t="s">
        <v>48</v>
      </c>
      <c r="C883" s="80">
        <v>64.3</v>
      </c>
      <c r="D883" s="131" t="s">
        <v>907</v>
      </c>
      <c r="E883" s="83" t="s">
        <v>908</v>
      </c>
      <c r="F883" s="81" t="s">
        <v>491</v>
      </c>
      <c r="G883" s="82">
        <v>8</v>
      </c>
      <c r="H883" s="85"/>
      <c r="I883" s="86">
        <v>11247.76</v>
      </c>
      <c r="J883" s="185">
        <f t="shared" si="109"/>
        <v>1600.84</v>
      </c>
      <c r="K883" s="189">
        <f t="shared" si="110"/>
        <v>12806.72</v>
      </c>
      <c r="L883" s="189"/>
      <c r="M883" s="138"/>
      <c r="N883" s="138"/>
      <c r="O883" s="138"/>
      <c r="S883" s="72"/>
      <c r="T883" s="72"/>
      <c r="U883" s="72"/>
      <c r="V883" s="72"/>
    </row>
    <row r="884" spans="1:22" s="63" customFormat="1" ht="22.5" x14ac:dyDescent="0.25">
      <c r="A884" s="84">
        <v>7.1710000000000003</v>
      </c>
      <c r="B884" s="81" t="s">
        <v>48</v>
      </c>
      <c r="C884" s="80">
        <v>64.400000000000006</v>
      </c>
      <c r="D884" s="131" t="s">
        <v>909</v>
      </c>
      <c r="E884" s="83" t="s">
        <v>910</v>
      </c>
      <c r="F884" s="81" t="s">
        <v>219</v>
      </c>
      <c r="G884" s="82">
        <v>8</v>
      </c>
      <c r="H884" s="85"/>
      <c r="I884" s="86">
        <v>9513.68</v>
      </c>
      <c r="J884" s="185">
        <f t="shared" si="109"/>
        <v>1354.03</v>
      </c>
      <c r="K884" s="189">
        <f t="shared" si="110"/>
        <v>10832.24</v>
      </c>
      <c r="L884" s="189"/>
      <c r="M884" s="138"/>
      <c r="N884" s="138"/>
      <c r="O884" s="138"/>
      <c r="S884" s="72"/>
      <c r="T884" s="72"/>
      <c r="U884" s="72"/>
      <c r="V884" s="72"/>
    </row>
    <row r="885" spans="1:22" s="63" customFormat="1" ht="22.5" x14ac:dyDescent="0.25">
      <c r="A885" s="84">
        <v>7.1719999999999997</v>
      </c>
      <c r="B885" s="81" t="s">
        <v>48</v>
      </c>
      <c r="C885" s="80">
        <v>64.5</v>
      </c>
      <c r="D885" s="131" t="s">
        <v>911</v>
      </c>
      <c r="E885" s="83" t="s">
        <v>912</v>
      </c>
      <c r="F885" s="81" t="s">
        <v>219</v>
      </c>
      <c r="G885" s="82">
        <v>8</v>
      </c>
      <c r="H885" s="85"/>
      <c r="I885" s="86">
        <v>813.41</v>
      </c>
      <c r="J885" s="185">
        <f t="shared" si="109"/>
        <v>115.77</v>
      </c>
      <c r="K885" s="189">
        <f t="shared" si="110"/>
        <v>926.16</v>
      </c>
      <c r="L885" s="189"/>
      <c r="M885" s="138"/>
      <c r="N885" s="138"/>
      <c r="O885" s="138"/>
      <c r="S885" s="72"/>
      <c r="T885" s="72"/>
      <c r="U885" s="72"/>
      <c r="V885" s="72"/>
    </row>
    <row r="886" spans="1:22" s="63" customFormat="1" ht="22.5" x14ac:dyDescent="0.25">
      <c r="A886" s="84">
        <v>7.173</v>
      </c>
      <c r="B886" s="81" t="s">
        <v>48</v>
      </c>
      <c r="C886" s="80">
        <v>64.599999999999994</v>
      </c>
      <c r="D886" s="131" t="s">
        <v>899</v>
      </c>
      <c r="E886" s="83" t="s">
        <v>900</v>
      </c>
      <c r="F886" s="81" t="s">
        <v>566</v>
      </c>
      <c r="G886" s="82">
        <v>1</v>
      </c>
      <c r="H886" s="85"/>
      <c r="I886" s="86">
        <v>1014.98</v>
      </c>
      <c r="J886" s="185">
        <f t="shared" si="109"/>
        <v>1155.6600000000001</v>
      </c>
      <c r="K886" s="189">
        <f t="shared" si="110"/>
        <v>1155.6600000000001</v>
      </c>
      <c r="L886" s="189"/>
      <c r="M886" s="138"/>
      <c r="N886" s="138"/>
      <c r="O886" s="138"/>
      <c r="S886" s="72"/>
      <c r="T886" s="72"/>
      <c r="U886" s="72"/>
      <c r="V886" s="72"/>
    </row>
    <row r="887" spans="1:22" s="63" customFormat="1" ht="22.5" x14ac:dyDescent="0.25">
      <c r="A887" s="84">
        <v>7.1740000000000004</v>
      </c>
      <c r="B887" s="81" t="s">
        <v>48</v>
      </c>
      <c r="C887" s="80">
        <v>64.7</v>
      </c>
      <c r="D887" s="131" t="s">
        <v>901</v>
      </c>
      <c r="E887" s="83" t="s">
        <v>902</v>
      </c>
      <c r="F887" s="81" t="s">
        <v>219</v>
      </c>
      <c r="G887" s="82">
        <v>10</v>
      </c>
      <c r="H887" s="85"/>
      <c r="I887" s="86">
        <v>3127.54</v>
      </c>
      <c r="J887" s="185">
        <f t="shared" si="109"/>
        <v>356.1</v>
      </c>
      <c r="K887" s="189">
        <f t="shared" si="110"/>
        <v>3561</v>
      </c>
      <c r="L887" s="189"/>
      <c r="M887" s="138"/>
      <c r="N887" s="138"/>
      <c r="O887" s="138"/>
      <c r="S887" s="72"/>
      <c r="T887" s="72"/>
      <c r="U887" s="72"/>
      <c r="V887" s="72"/>
    </row>
    <row r="888" spans="1:22" s="63" customFormat="1" ht="15" x14ac:dyDescent="0.25">
      <c r="A888" s="84">
        <v>7.1749999999999998</v>
      </c>
      <c r="B888" s="81" t="s">
        <v>48</v>
      </c>
      <c r="C888" s="82">
        <v>65</v>
      </c>
      <c r="D888" s="131" t="s">
        <v>913</v>
      </c>
      <c r="E888" s="83" t="s">
        <v>914</v>
      </c>
      <c r="F888" s="81" t="s">
        <v>687</v>
      </c>
      <c r="G888" s="80">
        <v>0.2</v>
      </c>
      <c r="H888" s="85"/>
      <c r="I888" s="86">
        <v>8297.92</v>
      </c>
      <c r="J888" s="185">
        <f t="shared" si="109"/>
        <v>47240.06</v>
      </c>
      <c r="K888" s="189">
        <f t="shared" si="110"/>
        <v>9448.01</v>
      </c>
      <c r="L888" s="189"/>
      <c r="M888" s="138"/>
      <c r="N888" s="138"/>
      <c r="O888" s="138"/>
      <c r="S888" s="72"/>
      <c r="T888" s="72"/>
      <c r="U888" s="72"/>
      <c r="V888" s="72"/>
    </row>
    <row r="889" spans="1:22" s="63" customFormat="1" ht="45" x14ac:dyDescent="0.25">
      <c r="A889" s="84">
        <v>7.1760000000000002</v>
      </c>
      <c r="B889" s="81" t="s">
        <v>48</v>
      </c>
      <c r="C889" s="80">
        <v>65.099999999999994</v>
      </c>
      <c r="D889" s="131" t="s">
        <v>915</v>
      </c>
      <c r="E889" s="83" t="s">
        <v>916</v>
      </c>
      <c r="F889" s="81" t="s">
        <v>491</v>
      </c>
      <c r="G889" s="82">
        <v>2</v>
      </c>
      <c r="H889" s="85"/>
      <c r="I889" s="86">
        <v>29774.28</v>
      </c>
      <c r="J889" s="185">
        <f t="shared" si="109"/>
        <v>16950.5</v>
      </c>
      <c r="K889" s="189">
        <f t="shared" si="110"/>
        <v>33901</v>
      </c>
      <c r="L889" s="189"/>
      <c r="M889" s="138"/>
      <c r="N889" s="138"/>
      <c r="O889" s="138"/>
      <c r="S889" s="72"/>
      <c r="T889" s="72"/>
      <c r="U889" s="72"/>
      <c r="V889" s="72"/>
    </row>
    <row r="890" spans="1:22" s="63" customFormat="1" ht="22.5" x14ac:dyDescent="0.25">
      <c r="A890" s="84">
        <v>7.1769999999999996</v>
      </c>
      <c r="B890" s="81" t="s">
        <v>48</v>
      </c>
      <c r="C890" s="80">
        <v>65.2</v>
      </c>
      <c r="D890" s="131" t="s">
        <v>917</v>
      </c>
      <c r="E890" s="83" t="s">
        <v>918</v>
      </c>
      <c r="F890" s="81" t="s">
        <v>491</v>
      </c>
      <c r="G890" s="82">
        <v>2</v>
      </c>
      <c r="H890" s="85"/>
      <c r="I890" s="86">
        <v>4484.3999999999996</v>
      </c>
      <c r="J890" s="185">
        <f t="shared" si="109"/>
        <v>2552.9699999999998</v>
      </c>
      <c r="K890" s="189">
        <f t="shared" si="110"/>
        <v>5105.9399999999996</v>
      </c>
      <c r="L890" s="189"/>
      <c r="M890" s="138"/>
      <c r="N890" s="138"/>
      <c r="O890" s="138"/>
      <c r="S890" s="72"/>
      <c r="T890" s="72"/>
      <c r="U890" s="72"/>
      <c r="V890" s="72"/>
    </row>
    <row r="891" spans="1:22" s="63" customFormat="1" ht="22.5" x14ac:dyDescent="0.25">
      <c r="A891" s="84">
        <v>7.1779999999999999</v>
      </c>
      <c r="B891" s="81" t="s">
        <v>48</v>
      </c>
      <c r="C891" s="80">
        <v>65.3</v>
      </c>
      <c r="D891" s="131" t="s">
        <v>899</v>
      </c>
      <c r="E891" s="83" t="s">
        <v>900</v>
      </c>
      <c r="F891" s="81" t="s">
        <v>566</v>
      </c>
      <c r="G891" s="80">
        <v>0.2</v>
      </c>
      <c r="H891" s="85"/>
      <c r="I891" s="86">
        <v>203</v>
      </c>
      <c r="J891" s="185">
        <f t="shared" si="109"/>
        <v>1155.68</v>
      </c>
      <c r="K891" s="189">
        <f t="shared" si="110"/>
        <v>231.14</v>
      </c>
      <c r="L891" s="189"/>
      <c r="M891" s="138"/>
      <c r="N891" s="138"/>
      <c r="O891" s="138"/>
      <c r="S891" s="72"/>
      <c r="T891" s="72"/>
      <c r="U891" s="72"/>
      <c r="V891" s="72"/>
    </row>
    <row r="892" spans="1:22" s="63" customFormat="1" ht="22.5" x14ac:dyDescent="0.25">
      <c r="A892" s="84">
        <v>7.1790000000000003</v>
      </c>
      <c r="B892" s="81" t="s">
        <v>48</v>
      </c>
      <c r="C892" s="80">
        <v>65.400000000000006</v>
      </c>
      <c r="D892" s="131" t="s">
        <v>901</v>
      </c>
      <c r="E892" s="83" t="s">
        <v>902</v>
      </c>
      <c r="F892" s="81" t="s">
        <v>219</v>
      </c>
      <c r="G892" s="82">
        <v>2</v>
      </c>
      <c r="H892" s="85"/>
      <c r="I892" s="86">
        <v>625.51</v>
      </c>
      <c r="J892" s="185">
        <f t="shared" si="109"/>
        <v>356.1</v>
      </c>
      <c r="K892" s="189">
        <f t="shared" si="110"/>
        <v>712.2</v>
      </c>
      <c r="L892" s="189"/>
      <c r="M892" s="138"/>
      <c r="N892" s="138"/>
      <c r="O892" s="138"/>
      <c r="S892" s="72"/>
      <c r="T892" s="72"/>
      <c r="U892" s="72"/>
      <c r="V892" s="72"/>
    </row>
    <row r="893" spans="1:22" s="63" customFormat="1" ht="15" x14ac:dyDescent="0.25">
      <c r="A893" s="84">
        <v>7.18</v>
      </c>
      <c r="B893" s="81" t="s">
        <v>48</v>
      </c>
      <c r="C893" s="82">
        <v>66</v>
      </c>
      <c r="D893" s="131" t="s">
        <v>919</v>
      </c>
      <c r="E893" s="83" t="s">
        <v>920</v>
      </c>
      <c r="F893" s="81" t="s">
        <v>687</v>
      </c>
      <c r="G893" s="80">
        <v>0.7</v>
      </c>
      <c r="H893" s="85"/>
      <c r="I893" s="86">
        <v>22509.07</v>
      </c>
      <c r="J893" s="185">
        <f t="shared" si="109"/>
        <v>36612.61</v>
      </c>
      <c r="K893" s="189">
        <f t="shared" si="110"/>
        <v>25628.83</v>
      </c>
      <c r="L893" s="189"/>
      <c r="M893" s="138"/>
      <c r="N893" s="138"/>
      <c r="O893" s="138"/>
      <c r="S893" s="72"/>
      <c r="T893" s="72"/>
      <c r="U893" s="72"/>
      <c r="V893" s="72"/>
    </row>
    <row r="894" spans="1:22" s="63" customFormat="1" ht="22.5" x14ac:dyDescent="0.25">
      <c r="A894" s="84">
        <v>7.181</v>
      </c>
      <c r="B894" s="81" t="s">
        <v>48</v>
      </c>
      <c r="C894" s="80">
        <v>66.099999999999994</v>
      </c>
      <c r="D894" s="131" t="s">
        <v>542</v>
      </c>
      <c r="E894" s="83" t="s">
        <v>543</v>
      </c>
      <c r="F894" s="81" t="s">
        <v>216</v>
      </c>
      <c r="G894" s="87">
        <v>0.28000000000000003</v>
      </c>
      <c r="H894" s="85"/>
      <c r="I894" s="86">
        <v>96.97</v>
      </c>
      <c r="J894" s="185">
        <f t="shared" si="109"/>
        <v>394.32</v>
      </c>
      <c r="K894" s="189">
        <f t="shared" si="110"/>
        <v>110.41</v>
      </c>
      <c r="L894" s="189"/>
      <c r="M894" s="138"/>
      <c r="N894" s="138"/>
      <c r="O894" s="138"/>
      <c r="S894" s="72"/>
      <c r="T894" s="72"/>
      <c r="U894" s="72"/>
      <c r="V894" s="72"/>
    </row>
    <row r="895" spans="1:22" s="63" customFormat="1" ht="22.5" x14ac:dyDescent="0.25">
      <c r="A895" s="84">
        <v>7.1820000000000004</v>
      </c>
      <c r="B895" s="81" t="s">
        <v>48</v>
      </c>
      <c r="C895" s="80">
        <v>66.2</v>
      </c>
      <c r="D895" s="131" t="s">
        <v>888</v>
      </c>
      <c r="E895" s="83" t="s">
        <v>889</v>
      </c>
      <c r="F895" s="81" t="s">
        <v>226</v>
      </c>
      <c r="G895" s="88">
        <v>4.0000000000000002E-4</v>
      </c>
      <c r="H895" s="85"/>
      <c r="I895" s="86">
        <v>187.72</v>
      </c>
      <c r="J895" s="185">
        <f t="shared" si="109"/>
        <v>534344.98</v>
      </c>
      <c r="K895" s="189">
        <f t="shared" si="110"/>
        <v>213.74</v>
      </c>
      <c r="L895" s="189"/>
      <c r="M895" s="138"/>
      <c r="N895" s="138"/>
      <c r="O895" s="138"/>
      <c r="S895" s="72"/>
      <c r="T895" s="72"/>
      <c r="U895" s="72"/>
      <c r="V895" s="72"/>
    </row>
    <row r="896" spans="1:22" s="63" customFormat="1" ht="22.5" x14ac:dyDescent="0.25">
      <c r="A896" s="84">
        <v>7.1829999999999998</v>
      </c>
      <c r="B896" s="81" t="s">
        <v>48</v>
      </c>
      <c r="C896" s="80">
        <v>66.3</v>
      </c>
      <c r="D896" s="131" t="s">
        <v>921</v>
      </c>
      <c r="E896" s="83" t="s">
        <v>3508</v>
      </c>
      <c r="F896" s="81" t="s">
        <v>219</v>
      </c>
      <c r="G896" s="82">
        <v>7</v>
      </c>
      <c r="H896" s="85"/>
      <c r="I896" s="86">
        <v>54555.61</v>
      </c>
      <c r="J896" s="185">
        <f t="shared" si="109"/>
        <v>8873.86</v>
      </c>
      <c r="K896" s="189">
        <f t="shared" si="110"/>
        <v>62117.02</v>
      </c>
      <c r="L896" s="189"/>
      <c r="M896" s="138"/>
      <c r="N896" s="138"/>
      <c r="O896" s="138"/>
      <c r="S896" s="72"/>
      <c r="T896" s="72"/>
      <c r="U896" s="72"/>
      <c r="V896" s="72"/>
    </row>
    <row r="897" spans="1:22" s="63" customFormat="1" ht="22.5" x14ac:dyDescent="0.25">
      <c r="A897" s="84">
        <v>7.1840000000000002</v>
      </c>
      <c r="B897" s="81" t="s">
        <v>48</v>
      </c>
      <c r="C897" s="80">
        <v>66.400000000000006</v>
      </c>
      <c r="D897" s="131" t="s">
        <v>895</v>
      </c>
      <c r="E897" s="83" t="s">
        <v>896</v>
      </c>
      <c r="F897" s="81" t="s">
        <v>219</v>
      </c>
      <c r="G897" s="82">
        <v>7</v>
      </c>
      <c r="H897" s="85"/>
      <c r="I897" s="86">
        <v>7283.91</v>
      </c>
      <c r="J897" s="185">
        <f t="shared" si="109"/>
        <v>1184.78</v>
      </c>
      <c r="K897" s="189">
        <f t="shared" si="110"/>
        <v>8293.4599999999991</v>
      </c>
      <c r="L897" s="189"/>
      <c r="M897" s="138"/>
      <c r="N897" s="138"/>
      <c r="O897" s="138"/>
      <c r="S897" s="72"/>
      <c r="T897" s="72"/>
      <c r="U897" s="72"/>
      <c r="V897" s="72"/>
    </row>
    <row r="898" spans="1:22" s="63" customFormat="1" ht="22.5" x14ac:dyDescent="0.25">
      <c r="A898" s="84">
        <v>7.1849999999999996</v>
      </c>
      <c r="B898" s="81" t="s">
        <v>48</v>
      </c>
      <c r="C898" s="80">
        <v>66.5</v>
      </c>
      <c r="D898" s="131" t="s">
        <v>897</v>
      </c>
      <c r="E898" s="83" t="s">
        <v>898</v>
      </c>
      <c r="F898" s="81" t="s">
        <v>491</v>
      </c>
      <c r="G898" s="82">
        <v>7</v>
      </c>
      <c r="H898" s="85"/>
      <c r="I898" s="86">
        <v>1302.25</v>
      </c>
      <c r="J898" s="185">
        <f t="shared" si="109"/>
        <v>211.82</v>
      </c>
      <c r="K898" s="189">
        <f t="shared" si="110"/>
        <v>1482.74</v>
      </c>
      <c r="L898" s="189"/>
      <c r="M898" s="138"/>
      <c r="N898" s="138"/>
      <c r="O898" s="138"/>
      <c r="S898" s="72"/>
      <c r="T898" s="72"/>
      <c r="U898" s="72"/>
      <c r="V898" s="72"/>
    </row>
    <row r="899" spans="1:22" s="63" customFormat="1" ht="22.5" x14ac:dyDescent="0.25">
      <c r="A899" s="84">
        <v>7.1859999999999999</v>
      </c>
      <c r="B899" s="81" t="s">
        <v>48</v>
      </c>
      <c r="C899" s="80">
        <v>66.599999999999994</v>
      </c>
      <c r="D899" s="131" t="s">
        <v>899</v>
      </c>
      <c r="E899" s="83" t="s">
        <v>900</v>
      </c>
      <c r="F899" s="81" t="s">
        <v>566</v>
      </c>
      <c r="G899" s="80">
        <v>1.4</v>
      </c>
      <c r="H899" s="85"/>
      <c r="I899" s="86">
        <v>1420.98</v>
      </c>
      <c r="J899" s="185">
        <f t="shared" si="109"/>
        <v>1155.6600000000001</v>
      </c>
      <c r="K899" s="189">
        <f t="shared" si="110"/>
        <v>1617.92</v>
      </c>
      <c r="L899" s="189"/>
      <c r="M899" s="138"/>
      <c r="N899" s="138"/>
      <c r="O899" s="138"/>
      <c r="S899" s="72"/>
      <c r="T899" s="72"/>
      <c r="U899" s="72"/>
      <c r="V899" s="72"/>
    </row>
    <row r="900" spans="1:22" s="63" customFormat="1" ht="22.5" x14ac:dyDescent="0.25">
      <c r="A900" s="84">
        <v>7.1870000000000003</v>
      </c>
      <c r="B900" s="81" t="s">
        <v>48</v>
      </c>
      <c r="C900" s="80">
        <v>66.7</v>
      </c>
      <c r="D900" s="131" t="s">
        <v>901</v>
      </c>
      <c r="E900" s="83" t="s">
        <v>902</v>
      </c>
      <c r="F900" s="81" t="s">
        <v>219</v>
      </c>
      <c r="G900" s="82">
        <v>14</v>
      </c>
      <c r="H900" s="85"/>
      <c r="I900" s="86">
        <v>4378.55</v>
      </c>
      <c r="J900" s="185">
        <f t="shared" si="109"/>
        <v>356.1</v>
      </c>
      <c r="K900" s="189">
        <f t="shared" si="110"/>
        <v>4985.3999999999996</v>
      </c>
      <c r="L900" s="189"/>
      <c r="M900" s="138"/>
      <c r="N900" s="138"/>
      <c r="O900" s="138"/>
      <c r="S900" s="72"/>
      <c r="T900" s="72"/>
      <c r="U900" s="72"/>
      <c r="V900" s="72"/>
    </row>
    <row r="901" spans="1:22" s="63" customFormat="1" ht="15" x14ac:dyDescent="0.25">
      <c r="A901" s="84">
        <v>7.1879999999999997</v>
      </c>
      <c r="B901" s="81" t="s">
        <v>48</v>
      </c>
      <c r="C901" s="82">
        <v>67</v>
      </c>
      <c r="D901" s="131" t="s">
        <v>892</v>
      </c>
      <c r="E901" s="83" t="s">
        <v>893</v>
      </c>
      <c r="F901" s="81" t="s">
        <v>687</v>
      </c>
      <c r="G901" s="80">
        <v>1.5</v>
      </c>
      <c r="H901" s="85"/>
      <c r="I901" s="86">
        <v>39697.96</v>
      </c>
      <c r="J901" s="185">
        <f t="shared" si="109"/>
        <v>30133.4</v>
      </c>
      <c r="K901" s="189">
        <f t="shared" si="110"/>
        <v>45200.1</v>
      </c>
      <c r="L901" s="189"/>
      <c r="M901" s="138"/>
      <c r="N901" s="138"/>
      <c r="O901" s="138"/>
      <c r="S901" s="72"/>
      <c r="T901" s="72"/>
      <c r="U901" s="72"/>
      <c r="V901" s="72"/>
    </row>
    <row r="902" spans="1:22" s="63" customFormat="1" ht="22.5" x14ac:dyDescent="0.25">
      <c r="A902" s="84">
        <v>7.1890000000000001</v>
      </c>
      <c r="B902" s="81" t="s">
        <v>48</v>
      </c>
      <c r="C902" s="80">
        <v>67.099999999999994</v>
      </c>
      <c r="D902" s="131" t="s">
        <v>542</v>
      </c>
      <c r="E902" s="83" t="s">
        <v>543</v>
      </c>
      <c r="F902" s="81" t="s">
        <v>216</v>
      </c>
      <c r="G902" s="80">
        <v>0.6</v>
      </c>
      <c r="H902" s="85"/>
      <c r="I902" s="86">
        <v>207.79</v>
      </c>
      <c r="J902" s="185">
        <f t="shared" si="109"/>
        <v>394.32</v>
      </c>
      <c r="K902" s="189">
        <f t="shared" si="110"/>
        <v>236.59</v>
      </c>
      <c r="L902" s="189"/>
      <c r="M902" s="138"/>
      <c r="N902" s="138"/>
      <c r="O902" s="138"/>
      <c r="S902" s="72"/>
      <c r="T902" s="72"/>
      <c r="U902" s="72"/>
      <c r="V902" s="72"/>
    </row>
    <row r="903" spans="1:22" s="63" customFormat="1" ht="22.5" x14ac:dyDescent="0.25">
      <c r="A903" s="84">
        <v>7.19</v>
      </c>
      <c r="B903" s="81" t="s">
        <v>48</v>
      </c>
      <c r="C903" s="80">
        <v>67.2</v>
      </c>
      <c r="D903" s="131" t="s">
        <v>888</v>
      </c>
      <c r="E903" s="83" t="s">
        <v>889</v>
      </c>
      <c r="F903" s="81" t="s">
        <v>226</v>
      </c>
      <c r="G903" s="88">
        <v>1.1000000000000001E-3</v>
      </c>
      <c r="H903" s="85"/>
      <c r="I903" s="86">
        <v>516.19000000000005</v>
      </c>
      <c r="J903" s="185">
        <f t="shared" si="109"/>
        <v>534303.57999999996</v>
      </c>
      <c r="K903" s="189">
        <f t="shared" si="110"/>
        <v>587.73</v>
      </c>
      <c r="L903" s="189"/>
      <c r="M903" s="138"/>
      <c r="N903" s="138"/>
      <c r="O903" s="138"/>
      <c r="S903" s="72"/>
      <c r="T903" s="72"/>
      <c r="U903" s="72"/>
      <c r="V903" s="72"/>
    </row>
    <row r="904" spans="1:22" s="63" customFormat="1" ht="22.5" x14ac:dyDescent="0.25">
      <c r="A904" s="84">
        <v>7.1909999999999998</v>
      </c>
      <c r="B904" s="81" t="s">
        <v>48</v>
      </c>
      <c r="C904" s="80">
        <v>67.3</v>
      </c>
      <c r="D904" s="131" t="s">
        <v>922</v>
      </c>
      <c r="E904" s="83" t="s">
        <v>3509</v>
      </c>
      <c r="F904" s="81" t="s">
        <v>219</v>
      </c>
      <c r="G904" s="82">
        <v>15</v>
      </c>
      <c r="H904" s="85"/>
      <c r="I904" s="86">
        <v>49461.51</v>
      </c>
      <c r="J904" s="185">
        <f t="shared" si="109"/>
        <v>3754.46</v>
      </c>
      <c r="K904" s="189">
        <f t="shared" si="110"/>
        <v>56316.9</v>
      </c>
      <c r="L904" s="189"/>
      <c r="M904" s="138"/>
      <c r="N904" s="138"/>
      <c r="O904" s="138"/>
      <c r="S904" s="72"/>
      <c r="T904" s="72"/>
      <c r="U904" s="72"/>
      <c r="V904" s="72"/>
    </row>
    <row r="905" spans="1:22" s="63" customFormat="1" ht="22.5" x14ac:dyDescent="0.25">
      <c r="A905" s="84">
        <v>7.1920000000000002</v>
      </c>
      <c r="B905" s="81" t="s">
        <v>48</v>
      </c>
      <c r="C905" s="80">
        <v>67.400000000000006</v>
      </c>
      <c r="D905" s="131" t="s">
        <v>895</v>
      </c>
      <c r="E905" s="83" t="s">
        <v>896</v>
      </c>
      <c r="F905" s="81" t="s">
        <v>219</v>
      </c>
      <c r="G905" s="82">
        <v>15</v>
      </c>
      <c r="H905" s="85"/>
      <c r="I905" s="86">
        <v>15608.38</v>
      </c>
      <c r="J905" s="185">
        <f t="shared" si="109"/>
        <v>1184.78</v>
      </c>
      <c r="K905" s="189">
        <f t="shared" si="110"/>
        <v>17771.7</v>
      </c>
      <c r="L905" s="189"/>
      <c r="M905" s="138"/>
      <c r="N905" s="138"/>
      <c r="O905" s="138"/>
      <c r="S905" s="72"/>
      <c r="T905" s="72"/>
      <c r="U905" s="72"/>
      <c r="V905" s="72"/>
    </row>
    <row r="906" spans="1:22" s="63" customFormat="1" ht="22.5" x14ac:dyDescent="0.25">
      <c r="A906" s="84">
        <v>7.1929999999999996</v>
      </c>
      <c r="B906" s="81" t="s">
        <v>48</v>
      </c>
      <c r="C906" s="80">
        <v>67.5</v>
      </c>
      <c r="D906" s="131" t="s">
        <v>897</v>
      </c>
      <c r="E906" s="83" t="s">
        <v>898</v>
      </c>
      <c r="F906" s="81" t="s">
        <v>491</v>
      </c>
      <c r="G906" s="82">
        <v>15</v>
      </c>
      <c r="H906" s="85"/>
      <c r="I906" s="86">
        <v>2790.54</v>
      </c>
      <c r="J906" s="185">
        <f t="shared" si="109"/>
        <v>211.82</v>
      </c>
      <c r="K906" s="189">
        <f t="shared" si="110"/>
        <v>3177.3</v>
      </c>
      <c r="L906" s="189"/>
      <c r="M906" s="138"/>
      <c r="N906" s="138"/>
      <c r="O906" s="138"/>
      <c r="S906" s="72"/>
      <c r="T906" s="72"/>
      <c r="U906" s="72"/>
      <c r="V906" s="72"/>
    </row>
    <row r="907" spans="1:22" s="63" customFormat="1" ht="22.5" x14ac:dyDescent="0.25">
      <c r="A907" s="84">
        <v>7.194</v>
      </c>
      <c r="B907" s="81" t="s">
        <v>48</v>
      </c>
      <c r="C907" s="80">
        <v>67.599999999999994</v>
      </c>
      <c r="D907" s="131" t="s">
        <v>899</v>
      </c>
      <c r="E907" s="83" t="s">
        <v>900</v>
      </c>
      <c r="F907" s="81" t="s">
        <v>566</v>
      </c>
      <c r="G907" s="80">
        <v>2.2000000000000002</v>
      </c>
      <c r="H907" s="85"/>
      <c r="I907" s="86">
        <v>2232.96</v>
      </c>
      <c r="J907" s="185">
        <f t="shared" si="109"/>
        <v>1155.6600000000001</v>
      </c>
      <c r="K907" s="189">
        <f t="shared" si="110"/>
        <v>2542.4499999999998</v>
      </c>
      <c r="L907" s="189"/>
      <c r="M907" s="138"/>
      <c r="N907" s="138"/>
      <c r="O907" s="138"/>
      <c r="S907" s="72"/>
      <c r="T907" s="72"/>
      <c r="U907" s="72"/>
      <c r="V907" s="72"/>
    </row>
    <row r="908" spans="1:22" s="63" customFormat="1" ht="22.5" x14ac:dyDescent="0.25">
      <c r="A908" s="84">
        <v>7.1950000000000003</v>
      </c>
      <c r="B908" s="81" t="s">
        <v>48</v>
      </c>
      <c r="C908" s="80">
        <v>67.7</v>
      </c>
      <c r="D908" s="131" t="s">
        <v>901</v>
      </c>
      <c r="E908" s="83" t="s">
        <v>902</v>
      </c>
      <c r="F908" s="81" t="s">
        <v>219</v>
      </c>
      <c r="G908" s="82">
        <v>22</v>
      </c>
      <c r="H908" s="85"/>
      <c r="I908" s="86">
        <v>6880.58</v>
      </c>
      <c r="J908" s="185">
        <f t="shared" si="109"/>
        <v>356.1</v>
      </c>
      <c r="K908" s="189">
        <f t="shared" si="110"/>
        <v>7834.2</v>
      </c>
      <c r="L908" s="189"/>
      <c r="M908" s="138"/>
      <c r="N908" s="138"/>
      <c r="O908" s="138"/>
      <c r="S908" s="72"/>
      <c r="T908" s="72"/>
      <c r="U908" s="72"/>
      <c r="V908" s="72"/>
    </row>
    <row r="909" spans="1:22" s="63" customFormat="1" ht="15" x14ac:dyDescent="0.25">
      <c r="A909" s="84">
        <v>7.1959999999999997</v>
      </c>
      <c r="B909" s="81" t="s">
        <v>48</v>
      </c>
      <c r="C909" s="82">
        <v>68</v>
      </c>
      <c r="D909" s="131" t="s">
        <v>923</v>
      </c>
      <c r="E909" s="83" t="s">
        <v>924</v>
      </c>
      <c r="F909" s="81" t="s">
        <v>687</v>
      </c>
      <c r="G909" s="80">
        <v>3.6</v>
      </c>
      <c r="H909" s="85"/>
      <c r="I909" s="86">
        <v>116128.55</v>
      </c>
      <c r="J909" s="185">
        <f t="shared" si="109"/>
        <v>36728.879999999997</v>
      </c>
      <c r="K909" s="189">
        <f t="shared" si="110"/>
        <v>132223.97</v>
      </c>
      <c r="L909" s="189"/>
      <c r="M909" s="138"/>
      <c r="N909" s="138"/>
      <c r="O909" s="138"/>
      <c r="S909" s="72"/>
      <c r="T909" s="72"/>
      <c r="U909" s="72"/>
      <c r="V909" s="72"/>
    </row>
    <row r="910" spans="1:22" s="63" customFormat="1" ht="22.5" x14ac:dyDescent="0.25">
      <c r="A910" s="84">
        <v>7.1970000000000001</v>
      </c>
      <c r="B910" s="81" t="s">
        <v>48</v>
      </c>
      <c r="C910" s="80">
        <v>68.099999999999994</v>
      </c>
      <c r="D910" s="131" t="s">
        <v>542</v>
      </c>
      <c r="E910" s="83" t="s">
        <v>543</v>
      </c>
      <c r="F910" s="81" t="s">
        <v>216</v>
      </c>
      <c r="G910" s="87">
        <v>1.44</v>
      </c>
      <c r="H910" s="85"/>
      <c r="I910" s="86">
        <v>498.7</v>
      </c>
      <c r="J910" s="185">
        <f t="shared" si="109"/>
        <v>394.32</v>
      </c>
      <c r="K910" s="189">
        <f t="shared" si="110"/>
        <v>567.82000000000005</v>
      </c>
      <c r="L910" s="189"/>
      <c r="M910" s="138"/>
      <c r="N910" s="138"/>
      <c r="O910" s="138"/>
      <c r="S910" s="72"/>
      <c r="T910" s="72"/>
      <c r="U910" s="72"/>
      <c r="V910" s="72"/>
    </row>
    <row r="911" spans="1:22" s="63" customFormat="1" ht="22.5" x14ac:dyDescent="0.25">
      <c r="A911" s="84">
        <v>7.1980000000000004</v>
      </c>
      <c r="B911" s="81" t="s">
        <v>48</v>
      </c>
      <c r="C911" s="80">
        <v>68.2</v>
      </c>
      <c r="D911" s="131" t="s">
        <v>888</v>
      </c>
      <c r="E911" s="83" t="s">
        <v>889</v>
      </c>
      <c r="F911" s="81" t="s">
        <v>226</v>
      </c>
      <c r="G911" s="88">
        <v>1.8E-3</v>
      </c>
      <c r="H911" s="85"/>
      <c r="I911" s="86">
        <v>844.67</v>
      </c>
      <c r="J911" s="185">
        <f t="shared" si="109"/>
        <v>534300.69999999995</v>
      </c>
      <c r="K911" s="189">
        <f t="shared" si="110"/>
        <v>961.74</v>
      </c>
      <c r="L911" s="189"/>
      <c r="M911" s="138"/>
      <c r="N911" s="138"/>
      <c r="O911" s="138"/>
      <c r="S911" s="72"/>
      <c r="T911" s="72"/>
      <c r="U911" s="72"/>
      <c r="V911" s="72"/>
    </row>
    <row r="912" spans="1:22" s="63" customFormat="1" ht="33.75" x14ac:dyDescent="0.25">
      <c r="A912" s="84">
        <v>7.1989999999999998</v>
      </c>
      <c r="B912" s="81" t="s">
        <v>48</v>
      </c>
      <c r="C912" s="80">
        <v>68.3</v>
      </c>
      <c r="D912" s="131" t="s">
        <v>925</v>
      </c>
      <c r="E912" s="83" t="s">
        <v>926</v>
      </c>
      <c r="F912" s="81" t="s">
        <v>491</v>
      </c>
      <c r="G912" s="82">
        <v>34</v>
      </c>
      <c r="H912" s="85"/>
      <c r="I912" s="86">
        <v>49913.41</v>
      </c>
      <c r="J912" s="185">
        <f t="shared" si="109"/>
        <v>1671.51</v>
      </c>
      <c r="K912" s="189">
        <f t="shared" si="110"/>
        <v>56831.34</v>
      </c>
      <c r="L912" s="189"/>
      <c r="M912" s="138"/>
      <c r="N912" s="138"/>
      <c r="O912" s="138"/>
      <c r="S912" s="72"/>
      <c r="T912" s="72"/>
      <c r="U912" s="72"/>
      <c r="V912" s="72"/>
    </row>
    <row r="913" spans="1:22" s="63" customFormat="1" ht="22.5" x14ac:dyDescent="0.25">
      <c r="A913" s="84">
        <v>7.2</v>
      </c>
      <c r="B913" s="81" t="s">
        <v>48</v>
      </c>
      <c r="C913" s="80">
        <v>68.400000000000006</v>
      </c>
      <c r="D913" s="131" t="s">
        <v>927</v>
      </c>
      <c r="E913" s="83" t="s">
        <v>928</v>
      </c>
      <c r="F913" s="81" t="s">
        <v>491</v>
      </c>
      <c r="G913" s="82">
        <v>2</v>
      </c>
      <c r="H913" s="85"/>
      <c r="I913" s="86">
        <v>5986.54</v>
      </c>
      <c r="J913" s="185">
        <f t="shared" si="109"/>
        <v>3408.14</v>
      </c>
      <c r="K913" s="189">
        <f t="shared" si="110"/>
        <v>6816.28</v>
      </c>
      <c r="L913" s="189"/>
      <c r="M913" s="138"/>
      <c r="N913" s="138"/>
      <c r="O913" s="138"/>
      <c r="S913" s="72"/>
      <c r="T913" s="72"/>
      <c r="U913" s="72"/>
      <c r="V913" s="72"/>
    </row>
    <row r="914" spans="1:22" s="63" customFormat="1" ht="22.5" x14ac:dyDescent="0.25">
      <c r="A914" s="84">
        <v>7.2009999999999996</v>
      </c>
      <c r="B914" s="81" t="s">
        <v>48</v>
      </c>
      <c r="C914" s="80">
        <v>68.5</v>
      </c>
      <c r="D914" s="131" t="s">
        <v>899</v>
      </c>
      <c r="E914" s="83" t="s">
        <v>900</v>
      </c>
      <c r="F914" s="81" t="s">
        <v>566</v>
      </c>
      <c r="G914" s="80">
        <v>3.6</v>
      </c>
      <c r="H914" s="85"/>
      <c r="I914" s="86">
        <v>3653.94</v>
      </c>
      <c r="J914" s="185">
        <f t="shared" si="109"/>
        <v>1155.6600000000001</v>
      </c>
      <c r="K914" s="189">
        <f t="shared" si="110"/>
        <v>4160.38</v>
      </c>
      <c r="L914" s="189"/>
      <c r="M914" s="138"/>
      <c r="N914" s="138"/>
      <c r="O914" s="138"/>
      <c r="S914" s="72"/>
      <c r="T914" s="72"/>
      <c r="U914" s="72"/>
      <c r="V914" s="72"/>
    </row>
    <row r="915" spans="1:22" s="63" customFormat="1" ht="22.5" x14ac:dyDescent="0.25">
      <c r="A915" s="84">
        <v>7.202</v>
      </c>
      <c r="B915" s="81" t="s">
        <v>48</v>
      </c>
      <c r="C915" s="80">
        <v>68.599999999999994</v>
      </c>
      <c r="D915" s="131" t="s">
        <v>929</v>
      </c>
      <c r="E915" s="83" t="s">
        <v>930</v>
      </c>
      <c r="F915" s="81" t="s">
        <v>219</v>
      </c>
      <c r="G915" s="82">
        <v>36</v>
      </c>
      <c r="H915" s="85"/>
      <c r="I915" s="86">
        <v>16776.810000000001</v>
      </c>
      <c r="J915" s="185">
        <f t="shared" si="109"/>
        <v>530.61</v>
      </c>
      <c r="K915" s="189">
        <f t="shared" si="110"/>
        <v>19101.96</v>
      </c>
      <c r="L915" s="189"/>
      <c r="M915" s="138"/>
      <c r="N915" s="138"/>
      <c r="O915" s="138"/>
      <c r="S915" s="72"/>
      <c r="T915" s="72"/>
      <c r="U915" s="72"/>
      <c r="V915" s="72"/>
    </row>
    <row r="916" spans="1:22" s="128" customFormat="1" ht="12.75" x14ac:dyDescent="0.25">
      <c r="A916" s="242"/>
      <c r="B916" s="125"/>
      <c r="C916" s="236"/>
      <c r="D916" s="77"/>
      <c r="E916" s="126" t="s">
        <v>3282</v>
      </c>
      <c r="F916" s="125"/>
      <c r="G916" s="76"/>
      <c r="H916" s="127"/>
      <c r="I916" s="78"/>
      <c r="J916" s="238"/>
      <c r="K916" s="239"/>
      <c r="L916" s="239"/>
      <c r="M916" s="79"/>
      <c r="N916" s="79"/>
      <c r="O916" s="79"/>
      <c r="S916" s="129"/>
      <c r="T916" s="129"/>
      <c r="U916" s="129"/>
      <c r="V916" s="129"/>
    </row>
    <row r="917" spans="1:22" s="63" customFormat="1" ht="15" x14ac:dyDescent="0.25">
      <c r="A917" s="84">
        <v>7.2030000000000003</v>
      </c>
      <c r="B917" s="81" t="s">
        <v>48</v>
      </c>
      <c r="C917" s="82">
        <v>69</v>
      </c>
      <c r="D917" s="131" t="s">
        <v>923</v>
      </c>
      <c r="E917" s="83" t="s">
        <v>924</v>
      </c>
      <c r="F917" s="81" t="s">
        <v>687</v>
      </c>
      <c r="G917" s="80">
        <v>0.2</v>
      </c>
      <c r="H917" s="85"/>
      <c r="I917" s="86">
        <v>6452.15</v>
      </c>
      <c r="J917" s="185">
        <f t="shared" ref="J917:J950" si="111">ROUND($I917/$G917*$N$11,2)</f>
        <v>36732.089999999997</v>
      </c>
      <c r="K917" s="189">
        <f t="shared" ref="K917:K950" si="112">ROUND(G917*J917,2)</f>
        <v>7346.42</v>
      </c>
      <c r="L917" s="189"/>
      <c r="M917" s="138"/>
      <c r="N917" s="138"/>
      <c r="O917" s="138"/>
      <c r="S917" s="72"/>
      <c r="T917" s="72"/>
      <c r="U917" s="72"/>
      <c r="V917" s="72"/>
    </row>
    <row r="918" spans="1:22" s="63" customFormat="1" ht="22.5" x14ac:dyDescent="0.25">
      <c r="A918" s="84">
        <v>7.2039999999999997</v>
      </c>
      <c r="B918" s="81" t="s">
        <v>48</v>
      </c>
      <c r="C918" s="80">
        <v>69.099999999999994</v>
      </c>
      <c r="D918" s="131" t="s">
        <v>542</v>
      </c>
      <c r="E918" s="83" t="s">
        <v>543</v>
      </c>
      <c r="F918" s="81" t="s">
        <v>216</v>
      </c>
      <c r="G918" s="87">
        <v>0.08</v>
      </c>
      <c r="H918" s="85"/>
      <c r="I918" s="86">
        <v>27.71</v>
      </c>
      <c r="J918" s="185">
        <f t="shared" si="111"/>
        <v>394.38</v>
      </c>
      <c r="K918" s="189">
        <f t="shared" si="112"/>
        <v>31.55</v>
      </c>
      <c r="L918" s="189"/>
      <c r="M918" s="138"/>
      <c r="N918" s="138"/>
      <c r="O918" s="138"/>
      <c r="S918" s="72"/>
      <c r="T918" s="72"/>
      <c r="U918" s="72"/>
      <c r="V918" s="72"/>
    </row>
    <row r="919" spans="1:22" s="63" customFormat="1" ht="22.5" x14ac:dyDescent="0.25">
      <c r="A919" s="84">
        <v>7.2050000000000001</v>
      </c>
      <c r="B919" s="81" t="s">
        <v>48</v>
      </c>
      <c r="C919" s="80">
        <v>69.2</v>
      </c>
      <c r="D919" s="131" t="s">
        <v>888</v>
      </c>
      <c r="E919" s="83" t="s">
        <v>889</v>
      </c>
      <c r="F919" s="81" t="s">
        <v>226</v>
      </c>
      <c r="G919" s="88">
        <v>1E-4</v>
      </c>
      <c r="H919" s="85"/>
      <c r="I919" s="86">
        <v>46.89</v>
      </c>
      <c r="J919" s="185">
        <f t="shared" si="111"/>
        <v>533889.54</v>
      </c>
      <c r="K919" s="189">
        <f t="shared" si="112"/>
        <v>53.39</v>
      </c>
      <c r="L919" s="189"/>
      <c r="M919" s="138"/>
      <c r="N919" s="138"/>
      <c r="O919" s="138"/>
      <c r="S919" s="72"/>
      <c r="T919" s="72"/>
      <c r="U919" s="72"/>
      <c r="V919" s="72"/>
    </row>
    <row r="920" spans="1:22" s="63" customFormat="1" ht="22.5" x14ac:dyDescent="0.25">
      <c r="A920" s="84">
        <v>7.2060000000000004</v>
      </c>
      <c r="B920" s="81" t="s">
        <v>48</v>
      </c>
      <c r="C920" s="80">
        <v>69.3</v>
      </c>
      <c r="D920" s="131" t="s">
        <v>927</v>
      </c>
      <c r="E920" s="83" t="s">
        <v>928</v>
      </c>
      <c r="F920" s="81" t="s">
        <v>491</v>
      </c>
      <c r="G920" s="82">
        <v>2</v>
      </c>
      <c r="H920" s="85"/>
      <c r="I920" s="86">
        <v>5986.54</v>
      </c>
      <c r="J920" s="185">
        <f t="shared" si="111"/>
        <v>3408.14</v>
      </c>
      <c r="K920" s="189">
        <f t="shared" si="112"/>
        <v>6816.28</v>
      </c>
      <c r="L920" s="189"/>
      <c r="M920" s="138"/>
      <c r="N920" s="138"/>
      <c r="O920" s="138"/>
      <c r="S920" s="72"/>
      <c r="T920" s="72"/>
      <c r="U920" s="72"/>
      <c r="V920" s="72"/>
    </row>
    <row r="921" spans="1:22" s="63" customFormat="1" ht="22.5" x14ac:dyDescent="0.25">
      <c r="A921" s="84">
        <v>7.2069999999999999</v>
      </c>
      <c r="B921" s="81" t="s">
        <v>48</v>
      </c>
      <c r="C921" s="80">
        <v>69.400000000000006</v>
      </c>
      <c r="D921" s="131" t="s">
        <v>899</v>
      </c>
      <c r="E921" s="83" t="s">
        <v>900</v>
      </c>
      <c r="F921" s="81" t="s">
        <v>566</v>
      </c>
      <c r="G921" s="80">
        <v>0.2</v>
      </c>
      <c r="H921" s="85"/>
      <c r="I921" s="86">
        <v>203</v>
      </c>
      <c r="J921" s="185">
        <f t="shared" si="111"/>
        <v>1155.68</v>
      </c>
      <c r="K921" s="189">
        <f t="shared" si="112"/>
        <v>231.14</v>
      </c>
      <c r="L921" s="189"/>
      <c r="M921" s="138"/>
      <c r="N921" s="138"/>
      <c r="O921" s="138"/>
      <c r="S921" s="72"/>
      <c r="T921" s="72"/>
      <c r="U921" s="72"/>
      <c r="V921" s="72"/>
    </row>
    <row r="922" spans="1:22" s="63" customFormat="1" ht="22.5" x14ac:dyDescent="0.25">
      <c r="A922" s="84">
        <v>7.2080000000000002</v>
      </c>
      <c r="B922" s="81" t="s">
        <v>48</v>
      </c>
      <c r="C922" s="80">
        <v>69.5</v>
      </c>
      <c r="D922" s="131" t="s">
        <v>929</v>
      </c>
      <c r="E922" s="83" t="s">
        <v>930</v>
      </c>
      <c r="F922" s="81" t="s">
        <v>219</v>
      </c>
      <c r="G922" s="82">
        <v>2</v>
      </c>
      <c r="H922" s="85"/>
      <c r="I922" s="86">
        <v>932.04</v>
      </c>
      <c r="J922" s="185">
        <f t="shared" si="111"/>
        <v>530.61</v>
      </c>
      <c r="K922" s="189">
        <f t="shared" si="112"/>
        <v>1061.22</v>
      </c>
      <c r="L922" s="189"/>
      <c r="M922" s="138"/>
      <c r="N922" s="138"/>
      <c r="O922" s="138"/>
      <c r="S922" s="72"/>
      <c r="T922" s="72"/>
      <c r="U922" s="72"/>
      <c r="V922" s="72"/>
    </row>
    <row r="923" spans="1:22" s="63" customFormat="1" ht="15" x14ac:dyDescent="0.25">
      <c r="A923" s="84">
        <v>7.2089999999999996</v>
      </c>
      <c r="B923" s="81" t="s">
        <v>48</v>
      </c>
      <c r="C923" s="82">
        <v>70</v>
      </c>
      <c r="D923" s="131" t="s">
        <v>892</v>
      </c>
      <c r="E923" s="83" t="s">
        <v>893</v>
      </c>
      <c r="F923" s="81" t="s">
        <v>687</v>
      </c>
      <c r="G923" s="80">
        <v>1.8</v>
      </c>
      <c r="H923" s="85"/>
      <c r="I923" s="86">
        <v>47637.14</v>
      </c>
      <c r="J923" s="185">
        <f t="shared" si="111"/>
        <v>30133.14</v>
      </c>
      <c r="K923" s="189">
        <f t="shared" si="112"/>
        <v>54239.65</v>
      </c>
      <c r="L923" s="189"/>
      <c r="M923" s="138"/>
      <c r="N923" s="138"/>
      <c r="O923" s="138"/>
      <c r="S923" s="72"/>
      <c r="T923" s="72"/>
      <c r="U923" s="72"/>
      <c r="V923" s="72"/>
    </row>
    <row r="924" spans="1:22" s="63" customFormat="1" ht="22.5" x14ac:dyDescent="0.25">
      <c r="A924" s="84">
        <v>7.21</v>
      </c>
      <c r="B924" s="81" t="s">
        <v>48</v>
      </c>
      <c r="C924" s="80">
        <v>70.099999999999994</v>
      </c>
      <c r="D924" s="131" t="s">
        <v>542</v>
      </c>
      <c r="E924" s="83" t="s">
        <v>543</v>
      </c>
      <c r="F924" s="81" t="s">
        <v>216</v>
      </c>
      <c r="G924" s="87">
        <v>0.72</v>
      </c>
      <c r="H924" s="85"/>
      <c r="I924" s="86">
        <v>249.35</v>
      </c>
      <c r="J924" s="185">
        <f t="shared" si="111"/>
        <v>394.32</v>
      </c>
      <c r="K924" s="189">
        <f t="shared" si="112"/>
        <v>283.91000000000003</v>
      </c>
      <c r="L924" s="189"/>
      <c r="M924" s="138"/>
      <c r="N924" s="138"/>
      <c r="O924" s="138"/>
      <c r="S924" s="72"/>
      <c r="T924" s="72"/>
      <c r="U924" s="72"/>
      <c r="V924" s="72"/>
    </row>
    <row r="925" spans="1:22" s="63" customFormat="1" ht="22.5" x14ac:dyDescent="0.25">
      <c r="A925" s="84">
        <v>7.2110000000000003</v>
      </c>
      <c r="B925" s="81" t="s">
        <v>48</v>
      </c>
      <c r="C925" s="80">
        <v>70.2</v>
      </c>
      <c r="D925" s="131" t="s">
        <v>888</v>
      </c>
      <c r="E925" s="83" t="s">
        <v>889</v>
      </c>
      <c r="F925" s="81" t="s">
        <v>226</v>
      </c>
      <c r="G925" s="88">
        <v>1.2999999999999999E-3</v>
      </c>
      <c r="H925" s="85"/>
      <c r="I925" s="86">
        <v>610.05999999999995</v>
      </c>
      <c r="J925" s="185">
        <f t="shared" si="111"/>
        <v>534318.69999999995</v>
      </c>
      <c r="K925" s="189">
        <f t="shared" si="112"/>
        <v>694.61</v>
      </c>
      <c r="L925" s="189"/>
      <c r="M925" s="138"/>
      <c r="N925" s="138"/>
      <c r="O925" s="138"/>
      <c r="S925" s="72"/>
      <c r="T925" s="72"/>
      <c r="U925" s="72"/>
      <c r="V925" s="72"/>
    </row>
    <row r="926" spans="1:22" s="63" customFormat="1" ht="22.5" x14ac:dyDescent="0.25">
      <c r="A926" s="84">
        <v>7.2119999999999997</v>
      </c>
      <c r="B926" s="81" t="s">
        <v>48</v>
      </c>
      <c r="C926" s="80">
        <v>70.3</v>
      </c>
      <c r="D926" s="131" t="s">
        <v>931</v>
      </c>
      <c r="E926" s="83" t="s">
        <v>3510</v>
      </c>
      <c r="F926" s="81" t="s">
        <v>219</v>
      </c>
      <c r="G926" s="82">
        <v>18</v>
      </c>
      <c r="H926" s="85"/>
      <c r="I926" s="86">
        <v>59162.559999999998</v>
      </c>
      <c r="J926" s="185">
        <f t="shared" si="111"/>
        <v>3742.36</v>
      </c>
      <c r="K926" s="189">
        <f t="shared" si="112"/>
        <v>67362.48</v>
      </c>
      <c r="L926" s="189"/>
      <c r="M926" s="138"/>
      <c r="N926" s="138"/>
      <c r="O926" s="138"/>
      <c r="S926" s="72"/>
      <c r="T926" s="72"/>
      <c r="U926" s="72"/>
      <c r="V926" s="72"/>
    </row>
    <row r="927" spans="1:22" s="63" customFormat="1" ht="22.5" x14ac:dyDescent="0.25">
      <c r="A927" s="84">
        <v>7.2130000000000001</v>
      </c>
      <c r="B927" s="81" t="s">
        <v>48</v>
      </c>
      <c r="C927" s="80">
        <v>70.400000000000006</v>
      </c>
      <c r="D927" s="131" t="s">
        <v>932</v>
      </c>
      <c r="E927" s="83" t="s">
        <v>3511</v>
      </c>
      <c r="F927" s="81" t="s">
        <v>219</v>
      </c>
      <c r="G927" s="82">
        <v>18</v>
      </c>
      <c r="H927" s="85"/>
      <c r="I927" s="86">
        <v>103390.64</v>
      </c>
      <c r="J927" s="185">
        <f t="shared" si="111"/>
        <v>6540.03</v>
      </c>
      <c r="K927" s="189">
        <f t="shared" si="112"/>
        <v>117720.54</v>
      </c>
      <c r="L927" s="189"/>
      <c r="M927" s="138"/>
      <c r="N927" s="138"/>
      <c r="O927" s="138"/>
      <c r="S927" s="72"/>
      <c r="T927" s="72"/>
      <c r="U927" s="72"/>
      <c r="V927" s="72"/>
    </row>
    <row r="928" spans="1:22" s="63" customFormat="1" ht="22.5" x14ac:dyDescent="0.25">
      <c r="A928" s="84">
        <v>7.2140000000000004</v>
      </c>
      <c r="B928" s="81" t="s">
        <v>48</v>
      </c>
      <c r="C928" s="80">
        <v>70.5</v>
      </c>
      <c r="D928" s="131" t="s">
        <v>897</v>
      </c>
      <c r="E928" s="83" t="s">
        <v>898</v>
      </c>
      <c r="F928" s="81" t="s">
        <v>491</v>
      </c>
      <c r="G928" s="82">
        <v>18</v>
      </c>
      <c r="H928" s="85"/>
      <c r="I928" s="86">
        <v>3348.65</v>
      </c>
      <c r="J928" s="185">
        <f t="shared" si="111"/>
        <v>211.82</v>
      </c>
      <c r="K928" s="189">
        <f t="shared" si="112"/>
        <v>3812.76</v>
      </c>
      <c r="L928" s="189"/>
      <c r="M928" s="138"/>
      <c r="N928" s="138"/>
      <c r="O928" s="138"/>
      <c r="S928" s="72"/>
      <c r="T928" s="72"/>
      <c r="U928" s="72"/>
      <c r="V928" s="72"/>
    </row>
    <row r="929" spans="1:22" s="63" customFormat="1" ht="22.5" x14ac:dyDescent="0.25">
      <c r="A929" s="84">
        <v>7.2149999999999999</v>
      </c>
      <c r="B929" s="81" t="s">
        <v>48</v>
      </c>
      <c r="C929" s="80">
        <v>70.599999999999994</v>
      </c>
      <c r="D929" s="131" t="s">
        <v>899</v>
      </c>
      <c r="E929" s="83" t="s">
        <v>900</v>
      </c>
      <c r="F929" s="81" t="s">
        <v>566</v>
      </c>
      <c r="G929" s="80">
        <v>3.6</v>
      </c>
      <c r="H929" s="85"/>
      <c r="I929" s="86">
        <v>3653.94</v>
      </c>
      <c r="J929" s="185">
        <f t="shared" si="111"/>
        <v>1155.6600000000001</v>
      </c>
      <c r="K929" s="189">
        <f t="shared" si="112"/>
        <v>4160.38</v>
      </c>
      <c r="L929" s="189"/>
      <c r="M929" s="138"/>
      <c r="N929" s="138"/>
      <c r="O929" s="138"/>
      <c r="S929" s="72"/>
      <c r="T929" s="72"/>
      <c r="U929" s="72"/>
      <c r="V929" s="72"/>
    </row>
    <row r="930" spans="1:22" s="63" customFormat="1" ht="22.5" x14ac:dyDescent="0.25">
      <c r="A930" s="84">
        <v>7.2160000000000002</v>
      </c>
      <c r="B930" s="81" t="s">
        <v>48</v>
      </c>
      <c r="C930" s="80">
        <v>70.7</v>
      </c>
      <c r="D930" s="131" t="s">
        <v>901</v>
      </c>
      <c r="E930" s="83" t="s">
        <v>902</v>
      </c>
      <c r="F930" s="81" t="s">
        <v>219</v>
      </c>
      <c r="G930" s="82">
        <v>36</v>
      </c>
      <c r="H930" s="85"/>
      <c r="I930" s="86">
        <v>11259.13</v>
      </c>
      <c r="J930" s="185">
        <f t="shared" si="111"/>
        <v>356.1</v>
      </c>
      <c r="K930" s="189">
        <f t="shared" si="112"/>
        <v>12819.6</v>
      </c>
      <c r="L930" s="189"/>
      <c r="M930" s="138"/>
      <c r="N930" s="138"/>
      <c r="O930" s="138"/>
      <c r="S930" s="72"/>
      <c r="T930" s="72"/>
      <c r="U930" s="72"/>
      <c r="V930" s="72"/>
    </row>
    <row r="931" spans="1:22" s="63" customFormat="1" ht="15" x14ac:dyDescent="0.25">
      <c r="A931" s="84">
        <v>7.2169999999999996</v>
      </c>
      <c r="B931" s="81" t="s">
        <v>48</v>
      </c>
      <c r="C931" s="82">
        <v>71</v>
      </c>
      <c r="D931" s="131" t="s">
        <v>903</v>
      </c>
      <c r="E931" s="83" t="s">
        <v>904</v>
      </c>
      <c r="F931" s="81" t="s">
        <v>687</v>
      </c>
      <c r="G931" s="80">
        <v>0.4</v>
      </c>
      <c r="H931" s="85"/>
      <c r="I931" s="86">
        <v>6056.11</v>
      </c>
      <c r="J931" s="185">
        <f t="shared" si="111"/>
        <v>17238.72</v>
      </c>
      <c r="K931" s="189">
        <f t="shared" si="112"/>
        <v>6895.49</v>
      </c>
      <c r="L931" s="189"/>
      <c r="M931" s="138"/>
      <c r="N931" s="138"/>
      <c r="O931" s="138"/>
      <c r="S931" s="72"/>
      <c r="T931" s="72"/>
      <c r="U931" s="72"/>
      <c r="V931" s="72"/>
    </row>
    <row r="932" spans="1:22" s="63" customFormat="1" ht="15" x14ac:dyDescent="0.25">
      <c r="A932" s="84">
        <v>7.218</v>
      </c>
      <c r="B932" s="81" t="s">
        <v>48</v>
      </c>
      <c r="C932" s="80">
        <v>71.099999999999994</v>
      </c>
      <c r="D932" s="131" t="s">
        <v>933</v>
      </c>
      <c r="E932" s="83" t="s">
        <v>3512</v>
      </c>
      <c r="F932" s="81" t="s">
        <v>219</v>
      </c>
      <c r="G932" s="82">
        <v>4</v>
      </c>
      <c r="H932" s="85"/>
      <c r="I932" s="86">
        <v>21903.5</v>
      </c>
      <c r="J932" s="185">
        <f t="shared" si="111"/>
        <v>6234.83</v>
      </c>
      <c r="K932" s="189">
        <f t="shared" si="112"/>
        <v>24939.32</v>
      </c>
      <c r="L932" s="189"/>
      <c r="M932" s="138"/>
      <c r="N932" s="138"/>
      <c r="O932" s="138"/>
      <c r="S932" s="72"/>
      <c r="T932" s="72"/>
      <c r="U932" s="72"/>
      <c r="V932" s="72"/>
    </row>
    <row r="933" spans="1:22" s="63" customFormat="1" ht="22.5" x14ac:dyDescent="0.25">
      <c r="A933" s="84">
        <v>7.2190000000000003</v>
      </c>
      <c r="B933" s="81" t="s">
        <v>48</v>
      </c>
      <c r="C933" s="80">
        <v>71.2</v>
      </c>
      <c r="D933" s="131" t="s">
        <v>934</v>
      </c>
      <c r="E933" s="83" t="s">
        <v>3513</v>
      </c>
      <c r="F933" s="81" t="s">
        <v>219</v>
      </c>
      <c r="G933" s="82">
        <v>4</v>
      </c>
      <c r="H933" s="85"/>
      <c r="I933" s="86">
        <v>17870.02</v>
      </c>
      <c r="J933" s="185">
        <f t="shared" si="111"/>
        <v>5086.7</v>
      </c>
      <c r="K933" s="189">
        <f t="shared" si="112"/>
        <v>20346.8</v>
      </c>
      <c r="L933" s="189"/>
      <c r="M933" s="138"/>
      <c r="N933" s="138"/>
      <c r="O933" s="138"/>
      <c r="S933" s="72"/>
      <c r="T933" s="72"/>
      <c r="U933" s="72"/>
      <c r="V933" s="72"/>
    </row>
    <row r="934" spans="1:22" s="63" customFormat="1" ht="22.5" x14ac:dyDescent="0.25">
      <c r="A934" s="84">
        <v>7.22</v>
      </c>
      <c r="B934" s="81" t="s">
        <v>48</v>
      </c>
      <c r="C934" s="80">
        <v>71.3</v>
      </c>
      <c r="D934" s="131" t="s">
        <v>911</v>
      </c>
      <c r="E934" s="83" t="s">
        <v>912</v>
      </c>
      <c r="F934" s="81" t="s">
        <v>219</v>
      </c>
      <c r="G934" s="82">
        <v>4</v>
      </c>
      <c r="H934" s="85"/>
      <c r="I934" s="86">
        <v>406.7</v>
      </c>
      <c r="J934" s="185">
        <f t="shared" si="111"/>
        <v>115.77</v>
      </c>
      <c r="K934" s="189">
        <f t="shared" si="112"/>
        <v>463.08</v>
      </c>
      <c r="L934" s="189"/>
      <c r="M934" s="138"/>
      <c r="N934" s="138"/>
      <c r="O934" s="138"/>
      <c r="S934" s="72"/>
      <c r="T934" s="72"/>
      <c r="U934" s="72"/>
      <c r="V934" s="72"/>
    </row>
    <row r="935" spans="1:22" s="63" customFormat="1" ht="22.5" x14ac:dyDescent="0.25">
      <c r="A935" s="84">
        <v>7.2210000000000001</v>
      </c>
      <c r="B935" s="81" t="s">
        <v>48</v>
      </c>
      <c r="C935" s="80">
        <v>71.400000000000006</v>
      </c>
      <c r="D935" s="131" t="s">
        <v>899</v>
      </c>
      <c r="E935" s="83" t="s">
        <v>900</v>
      </c>
      <c r="F935" s="81" t="s">
        <v>566</v>
      </c>
      <c r="G935" s="80">
        <v>0.8</v>
      </c>
      <c r="H935" s="85"/>
      <c r="I935" s="86">
        <v>811.99</v>
      </c>
      <c r="J935" s="185">
        <f t="shared" si="111"/>
        <v>1155.6600000000001</v>
      </c>
      <c r="K935" s="189">
        <f t="shared" si="112"/>
        <v>924.53</v>
      </c>
      <c r="L935" s="189"/>
      <c r="M935" s="138"/>
      <c r="N935" s="138"/>
      <c r="O935" s="138"/>
      <c r="S935" s="72"/>
      <c r="T935" s="72"/>
      <c r="U935" s="72"/>
      <c r="V935" s="72"/>
    </row>
    <row r="936" spans="1:22" s="63" customFormat="1" ht="22.5" x14ac:dyDescent="0.25">
      <c r="A936" s="84">
        <v>7.2220000000000004</v>
      </c>
      <c r="B936" s="81" t="s">
        <v>48</v>
      </c>
      <c r="C936" s="80">
        <v>71.5</v>
      </c>
      <c r="D936" s="131" t="s">
        <v>901</v>
      </c>
      <c r="E936" s="83" t="s">
        <v>902</v>
      </c>
      <c r="F936" s="81" t="s">
        <v>219</v>
      </c>
      <c r="G936" s="82">
        <v>8</v>
      </c>
      <c r="H936" s="85"/>
      <c r="I936" s="86">
        <v>2502.0300000000002</v>
      </c>
      <c r="J936" s="185">
        <f t="shared" si="111"/>
        <v>356.1</v>
      </c>
      <c r="K936" s="189">
        <f t="shared" si="112"/>
        <v>2848.8</v>
      </c>
      <c r="L936" s="189"/>
      <c r="M936" s="138"/>
      <c r="N936" s="138"/>
      <c r="O936" s="138"/>
      <c r="S936" s="72"/>
      <c r="T936" s="72"/>
      <c r="U936" s="72"/>
      <c r="V936" s="72"/>
    </row>
    <row r="937" spans="1:22" s="63" customFormat="1" ht="15" x14ac:dyDescent="0.25">
      <c r="A937" s="84">
        <v>7.2229999999999999</v>
      </c>
      <c r="B937" s="81" t="s">
        <v>48</v>
      </c>
      <c r="C937" s="82">
        <v>72</v>
      </c>
      <c r="D937" s="131" t="s">
        <v>935</v>
      </c>
      <c r="E937" s="83" t="s">
        <v>936</v>
      </c>
      <c r="F937" s="81" t="s">
        <v>687</v>
      </c>
      <c r="G937" s="80">
        <v>0.1</v>
      </c>
      <c r="H937" s="85"/>
      <c r="I937" s="86">
        <v>2430.8200000000002</v>
      </c>
      <c r="J937" s="185">
        <f t="shared" si="111"/>
        <v>27677.32</v>
      </c>
      <c r="K937" s="189">
        <f t="shared" si="112"/>
        <v>2767.73</v>
      </c>
      <c r="L937" s="189"/>
      <c r="M937" s="138"/>
      <c r="N937" s="138"/>
      <c r="O937" s="138"/>
      <c r="S937" s="72"/>
      <c r="T937" s="72"/>
      <c r="U937" s="72"/>
      <c r="V937" s="72"/>
    </row>
    <row r="938" spans="1:22" s="63" customFormat="1" ht="22.5" x14ac:dyDescent="0.25">
      <c r="A938" s="84">
        <v>7.2240000000000002</v>
      </c>
      <c r="B938" s="81" t="s">
        <v>48</v>
      </c>
      <c r="C938" s="80">
        <v>72.099999999999994</v>
      </c>
      <c r="D938" s="131" t="s">
        <v>937</v>
      </c>
      <c r="E938" s="83" t="s">
        <v>938</v>
      </c>
      <c r="F938" s="81" t="s">
        <v>491</v>
      </c>
      <c r="G938" s="82">
        <v>1</v>
      </c>
      <c r="H938" s="85"/>
      <c r="I938" s="86">
        <v>15102.93</v>
      </c>
      <c r="J938" s="185">
        <f t="shared" si="111"/>
        <v>17196.2</v>
      </c>
      <c r="K938" s="189">
        <f t="shared" si="112"/>
        <v>17196.2</v>
      </c>
      <c r="L938" s="189"/>
      <c r="M938" s="138"/>
      <c r="N938" s="138"/>
      <c r="O938" s="138"/>
      <c r="S938" s="72"/>
      <c r="T938" s="72"/>
      <c r="U938" s="72"/>
      <c r="V938" s="72"/>
    </row>
    <row r="939" spans="1:22" s="63" customFormat="1" ht="22.5" x14ac:dyDescent="0.25">
      <c r="A939" s="84">
        <v>7.2249999999999996</v>
      </c>
      <c r="B939" s="81" t="s">
        <v>48</v>
      </c>
      <c r="C939" s="80">
        <v>72.2</v>
      </c>
      <c r="D939" s="131" t="s">
        <v>934</v>
      </c>
      <c r="E939" s="83" t="s">
        <v>3514</v>
      </c>
      <c r="F939" s="81" t="s">
        <v>219</v>
      </c>
      <c r="G939" s="82">
        <v>1</v>
      </c>
      <c r="H939" s="85"/>
      <c r="I939" s="86">
        <v>4467.53</v>
      </c>
      <c r="J939" s="185">
        <f t="shared" si="111"/>
        <v>5086.7299999999996</v>
      </c>
      <c r="K939" s="189">
        <f t="shared" si="112"/>
        <v>5086.7299999999996</v>
      </c>
      <c r="L939" s="189"/>
      <c r="M939" s="138"/>
      <c r="N939" s="138"/>
      <c r="O939" s="138"/>
      <c r="S939" s="72"/>
      <c r="T939" s="72"/>
      <c r="U939" s="72"/>
      <c r="V939" s="72"/>
    </row>
    <row r="940" spans="1:22" s="63" customFormat="1" ht="15" x14ac:dyDescent="0.25">
      <c r="A940" s="84">
        <v>7.226</v>
      </c>
      <c r="B940" s="81" t="s">
        <v>48</v>
      </c>
      <c r="C940" s="80">
        <v>72.3</v>
      </c>
      <c r="D940" s="131" t="s">
        <v>939</v>
      </c>
      <c r="E940" s="83" t="s">
        <v>3515</v>
      </c>
      <c r="F940" s="81" t="s">
        <v>219</v>
      </c>
      <c r="G940" s="82">
        <v>1</v>
      </c>
      <c r="H940" s="85"/>
      <c r="I940" s="86">
        <v>313.82</v>
      </c>
      <c r="J940" s="185">
        <f t="shared" si="111"/>
        <v>357.32</v>
      </c>
      <c r="K940" s="189">
        <f t="shared" si="112"/>
        <v>357.32</v>
      </c>
      <c r="L940" s="189"/>
      <c r="M940" s="138"/>
      <c r="N940" s="138"/>
      <c r="O940" s="138"/>
      <c r="S940" s="72"/>
      <c r="T940" s="72"/>
      <c r="U940" s="72"/>
      <c r="V940" s="72"/>
    </row>
    <row r="941" spans="1:22" s="63" customFormat="1" ht="22.5" x14ac:dyDescent="0.25">
      <c r="A941" s="84">
        <v>7.2270000000000003</v>
      </c>
      <c r="B941" s="81" t="s">
        <v>48</v>
      </c>
      <c r="C941" s="80">
        <v>72.400000000000006</v>
      </c>
      <c r="D941" s="131" t="s">
        <v>899</v>
      </c>
      <c r="E941" s="83" t="s">
        <v>900</v>
      </c>
      <c r="F941" s="81" t="s">
        <v>566</v>
      </c>
      <c r="G941" s="80">
        <v>0.2</v>
      </c>
      <c r="H941" s="85"/>
      <c r="I941" s="86">
        <v>203</v>
      </c>
      <c r="J941" s="185">
        <f t="shared" si="111"/>
        <v>1155.68</v>
      </c>
      <c r="K941" s="189">
        <f t="shared" si="112"/>
        <v>231.14</v>
      </c>
      <c r="L941" s="189"/>
      <c r="M941" s="138"/>
      <c r="N941" s="138"/>
      <c r="O941" s="138"/>
      <c r="S941" s="72"/>
      <c r="T941" s="72"/>
      <c r="U941" s="72"/>
      <c r="V941" s="72"/>
    </row>
    <row r="942" spans="1:22" s="63" customFormat="1" ht="22.5" x14ac:dyDescent="0.25">
      <c r="A942" s="84">
        <v>7.2279999999999998</v>
      </c>
      <c r="B942" s="81" t="s">
        <v>48</v>
      </c>
      <c r="C942" s="80">
        <v>72.5</v>
      </c>
      <c r="D942" s="131" t="s">
        <v>929</v>
      </c>
      <c r="E942" s="83" t="s">
        <v>930</v>
      </c>
      <c r="F942" s="81" t="s">
        <v>219</v>
      </c>
      <c r="G942" s="82">
        <v>1</v>
      </c>
      <c r="H942" s="85"/>
      <c r="I942" s="86">
        <v>466.02</v>
      </c>
      <c r="J942" s="185">
        <f t="shared" si="111"/>
        <v>530.61</v>
      </c>
      <c r="K942" s="189">
        <f t="shared" si="112"/>
        <v>530.61</v>
      </c>
      <c r="L942" s="189"/>
      <c r="M942" s="138"/>
      <c r="N942" s="138"/>
      <c r="O942" s="138"/>
      <c r="S942" s="72"/>
      <c r="T942" s="72"/>
      <c r="U942" s="72"/>
      <c r="V942" s="72"/>
    </row>
    <row r="943" spans="1:22" s="63" customFormat="1" ht="15" x14ac:dyDescent="0.25">
      <c r="A943" s="84">
        <v>7.2290000000000001</v>
      </c>
      <c r="B943" s="81" t="s">
        <v>48</v>
      </c>
      <c r="C943" s="82">
        <v>73</v>
      </c>
      <c r="D943" s="131" t="s">
        <v>919</v>
      </c>
      <c r="E943" s="83" t="s">
        <v>920</v>
      </c>
      <c r="F943" s="81" t="s">
        <v>687</v>
      </c>
      <c r="G943" s="80">
        <v>0.4</v>
      </c>
      <c r="H943" s="85"/>
      <c r="I943" s="86">
        <v>12861.36</v>
      </c>
      <c r="J943" s="185">
        <f t="shared" si="111"/>
        <v>36609.86</v>
      </c>
      <c r="K943" s="189">
        <f t="shared" si="112"/>
        <v>14643.94</v>
      </c>
      <c r="L943" s="189"/>
      <c r="M943" s="138"/>
      <c r="N943" s="138"/>
      <c r="O943" s="138"/>
      <c r="S943" s="72"/>
      <c r="T943" s="72"/>
      <c r="U943" s="72"/>
      <c r="V943" s="72"/>
    </row>
    <row r="944" spans="1:22" s="63" customFormat="1" ht="22.5" x14ac:dyDescent="0.25">
      <c r="A944" s="84">
        <v>7.23</v>
      </c>
      <c r="B944" s="81" t="s">
        <v>48</v>
      </c>
      <c r="C944" s="80">
        <v>73.099999999999994</v>
      </c>
      <c r="D944" s="131" t="s">
        <v>542</v>
      </c>
      <c r="E944" s="83" t="s">
        <v>543</v>
      </c>
      <c r="F944" s="81" t="s">
        <v>216</v>
      </c>
      <c r="G944" s="87">
        <v>0.16</v>
      </c>
      <c r="H944" s="85"/>
      <c r="I944" s="86">
        <v>55.41</v>
      </c>
      <c r="J944" s="185">
        <f t="shared" si="111"/>
        <v>394.31</v>
      </c>
      <c r="K944" s="189">
        <f t="shared" si="112"/>
        <v>63.09</v>
      </c>
      <c r="L944" s="189"/>
      <c r="M944" s="138"/>
      <c r="N944" s="138"/>
      <c r="O944" s="138"/>
      <c r="S944" s="72"/>
      <c r="T944" s="72"/>
      <c r="U944" s="72"/>
      <c r="V944" s="72"/>
    </row>
    <row r="945" spans="1:22" s="63" customFormat="1" ht="22.5" x14ac:dyDescent="0.25">
      <c r="A945" s="84">
        <v>7.2309999999999999</v>
      </c>
      <c r="B945" s="81" t="s">
        <v>48</v>
      </c>
      <c r="C945" s="80">
        <v>73.2</v>
      </c>
      <c r="D945" s="131" t="s">
        <v>888</v>
      </c>
      <c r="E945" s="83" t="s">
        <v>889</v>
      </c>
      <c r="F945" s="81" t="s">
        <v>226</v>
      </c>
      <c r="G945" s="88">
        <v>2.0000000000000001E-4</v>
      </c>
      <c r="H945" s="85"/>
      <c r="I945" s="86">
        <v>93.86</v>
      </c>
      <c r="J945" s="185">
        <f t="shared" si="111"/>
        <v>534344.98</v>
      </c>
      <c r="K945" s="189">
        <f t="shared" si="112"/>
        <v>106.87</v>
      </c>
      <c r="L945" s="189"/>
      <c r="M945" s="138"/>
      <c r="N945" s="138"/>
      <c r="O945" s="138"/>
      <c r="S945" s="72"/>
      <c r="T945" s="72"/>
      <c r="U945" s="72"/>
      <c r="V945" s="72"/>
    </row>
    <row r="946" spans="1:22" s="63" customFormat="1" ht="22.5" x14ac:dyDescent="0.25">
      <c r="A946" s="84">
        <v>7.2320000000000002</v>
      </c>
      <c r="B946" s="81" t="s">
        <v>48</v>
      </c>
      <c r="C946" s="80">
        <v>73.3</v>
      </c>
      <c r="D946" s="131" t="s">
        <v>940</v>
      </c>
      <c r="E946" s="83" t="s">
        <v>3516</v>
      </c>
      <c r="F946" s="81" t="s">
        <v>219</v>
      </c>
      <c r="G946" s="82">
        <v>4</v>
      </c>
      <c r="H946" s="85"/>
      <c r="I946" s="86">
        <v>76755.88</v>
      </c>
      <c r="J946" s="185">
        <f t="shared" si="111"/>
        <v>21848.560000000001</v>
      </c>
      <c r="K946" s="189">
        <f t="shared" si="112"/>
        <v>87394.240000000005</v>
      </c>
      <c r="L946" s="189"/>
      <c r="M946" s="138"/>
      <c r="N946" s="138"/>
      <c r="O946" s="138"/>
      <c r="S946" s="72"/>
      <c r="T946" s="72"/>
      <c r="U946" s="72"/>
      <c r="V946" s="72"/>
    </row>
    <row r="947" spans="1:22" s="63" customFormat="1" ht="22.5" x14ac:dyDescent="0.25">
      <c r="A947" s="84">
        <v>7.2329999999999997</v>
      </c>
      <c r="B947" s="81" t="s">
        <v>48</v>
      </c>
      <c r="C947" s="80">
        <v>73.400000000000006</v>
      </c>
      <c r="D947" s="131" t="s">
        <v>941</v>
      </c>
      <c r="E947" s="83" t="s">
        <v>942</v>
      </c>
      <c r="F947" s="81" t="s">
        <v>219</v>
      </c>
      <c r="G947" s="82">
        <v>4</v>
      </c>
      <c r="H947" s="85"/>
      <c r="I947" s="86">
        <v>22975.67</v>
      </c>
      <c r="J947" s="185">
        <f t="shared" si="111"/>
        <v>6540.02</v>
      </c>
      <c r="K947" s="189">
        <f t="shared" si="112"/>
        <v>26160.080000000002</v>
      </c>
      <c r="L947" s="189"/>
      <c r="M947" s="138"/>
      <c r="N947" s="138"/>
      <c r="O947" s="138"/>
      <c r="S947" s="72"/>
      <c r="T947" s="72"/>
      <c r="U947" s="72"/>
      <c r="V947" s="72"/>
    </row>
    <row r="948" spans="1:22" s="63" customFormat="1" ht="22.5" x14ac:dyDescent="0.25">
      <c r="A948" s="84">
        <v>7.234</v>
      </c>
      <c r="B948" s="81" t="s">
        <v>48</v>
      </c>
      <c r="C948" s="80">
        <v>73.5</v>
      </c>
      <c r="D948" s="131" t="s">
        <v>897</v>
      </c>
      <c r="E948" s="83" t="s">
        <v>898</v>
      </c>
      <c r="F948" s="81" t="s">
        <v>491</v>
      </c>
      <c r="G948" s="82">
        <v>4</v>
      </c>
      <c r="H948" s="85"/>
      <c r="I948" s="86">
        <v>744.14</v>
      </c>
      <c r="J948" s="185">
        <f t="shared" si="111"/>
        <v>211.82</v>
      </c>
      <c r="K948" s="189">
        <f t="shared" si="112"/>
        <v>847.28</v>
      </c>
      <c r="L948" s="189"/>
      <c r="M948" s="138"/>
      <c r="N948" s="138"/>
      <c r="O948" s="138"/>
      <c r="S948" s="72"/>
      <c r="T948" s="72"/>
      <c r="U948" s="72"/>
      <c r="V948" s="72"/>
    </row>
    <row r="949" spans="1:22" s="63" customFormat="1" ht="22.5" x14ac:dyDescent="0.25">
      <c r="A949" s="84">
        <v>7.2350000000000003</v>
      </c>
      <c r="B949" s="81" t="s">
        <v>48</v>
      </c>
      <c r="C949" s="80">
        <v>73.599999999999994</v>
      </c>
      <c r="D949" s="131" t="s">
        <v>899</v>
      </c>
      <c r="E949" s="83" t="s">
        <v>900</v>
      </c>
      <c r="F949" s="81" t="s">
        <v>566</v>
      </c>
      <c r="G949" s="80">
        <v>0.8</v>
      </c>
      <c r="H949" s="85"/>
      <c r="I949" s="86">
        <v>811.99</v>
      </c>
      <c r="J949" s="185">
        <f t="shared" si="111"/>
        <v>1155.6600000000001</v>
      </c>
      <c r="K949" s="189">
        <f t="shared" si="112"/>
        <v>924.53</v>
      </c>
      <c r="L949" s="189"/>
      <c r="M949" s="138"/>
      <c r="N949" s="138"/>
      <c r="O949" s="138"/>
      <c r="S949" s="72"/>
      <c r="T949" s="72"/>
      <c r="U949" s="72"/>
      <c r="V949" s="72"/>
    </row>
    <row r="950" spans="1:22" s="63" customFormat="1" ht="22.5" x14ac:dyDescent="0.25">
      <c r="A950" s="84">
        <v>7.2359999999999998</v>
      </c>
      <c r="B950" s="81" t="s">
        <v>48</v>
      </c>
      <c r="C950" s="80">
        <v>73.7</v>
      </c>
      <c r="D950" s="131" t="s">
        <v>901</v>
      </c>
      <c r="E950" s="83" t="s">
        <v>902</v>
      </c>
      <c r="F950" s="81" t="s">
        <v>219</v>
      </c>
      <c r="G950" s="82">
        <v>8</v>
      </c>
      <c r="H950" s="85"/>
      <c r="I950" s="86">
        <v>2502.0300000000002</v>
      </c>
      <c r="J950" s="185">
        <f t="shared" si="111"/>
        <v>356.1</v>
      </c>
      <c r="K950" s="189">
        <f t="shared" si="112"/>
        <v>2848.8</v>
      </c>
      <c r="L950" s="189"/>
      <c r="M950" s="138"/>
      <c r="N950" s="138"/>
      <c r="O950" s="138"/>
      <c r="S950" s="72"/>
      <c r="T950" s="72"/>
      <c r="U950" s="72"/>
      <c r="V950" s="72"/>
    </row>
    <row r="951" spans="1:22" s="128" customFormat="1" ht="12.75" x14ac:dyDescent="0.25">
      <c r="A951" s="242"/>
      <c r="B951" s="125"/>
      <c r="C951" s="236"/>
      <c r="D951" s="77"/>
      <c r="E951" s="126" t="s">
        <v>3283</v>
      </c>
      <c r="F951" s="125"/>
      <c r="G951" s="76"/>
      <c r="H951" s="127"/>
      <c r="I951" s="78"/>
      <c r="J951" s="238"/>
      <c r="K951" s="239"/>
      <c r="L951" s="239"/>
      <c r="M951" s="79"/>
      <c r="N951" s="79"/>
      <c r="O951" s="79"/>
      <c r="S951" s="129"/>
      <c r="T951" s="129"/>
      <c r="U951" s="129"/>
      <c r="V951" s="129"/>
    </row>
    <row r="952" spans="1:22" s="63" customFormat="1" ht="15" x14ac:dyDescent="0.25">
      <c r="A952" s="84">
        <v>7.2370000000000001</v>
      </c>
      <c r="B952" s="81" t="s">
        <v>48</v>
      </c>
      <c r="C952" s="82">
        <v>74</v>
      </c>
      <c r="D952" s="131" t="s">
        <v>923</v>
      </c>
      <c r="E952" s="83" t="s">
        <v>924</v>
      </c>
      <c r="F952" s="81" t="s">
        <v>687</v>
      </c>
      <c r="G952" s="80">
        <v>0.3</v>
      </c>
      <c r="H952" s="85"/>
      <c r="I952" s="86">
        <v>9677.67</v>
      </c>
      <c r="J952" s="185">
        <f t="shared" ref="J952:J971" si="113">ROUND($I952/$G952*$N$11,2)</f>
        <v>36729.980000000003</v>
      </c>
      <c r="K952" s="189">
        <f t="shared" ref="K952:K971" si="114">ROUND(G952*J952,2)</f>
        <v>11018.99</v>
      </c>
      <c r="L952" s="189"/>
      <c r="M952" s="138"/>
      <c r="N952" s="138"/>
      <c r="O952" s="138"/>
      <c r="S952" s="72"/>
      <c r="T952" s="72"/>
      <c r="U952" s="72"/>
      <c r="V952" s="72"/>
    </row>
    <row r="953" spans="1:22" s="63" customFormat="1" ht="22.5" x14ac:dyDescent="0.25">
      <c r="A953" s="84">
        <v>7.2380000000000004</v>
      </c>
      <c r="B953" s="81" t="s">
        <v>48</v>
      </c>
      <c r="C953" s="80">
        <v>74.099999999999994</v>
      </c>
      <c r="D953" s="131" t="s">
        <v>542</v>
      </c>
      <c r="E953" s="83" t="s">
        <v>543</v>
      </c>
      <c r="F953" s="81" t="s">
        <v>216</v>
      </c>
      <c r="G953" s="87">
        <v>0.12</v>
      </c>
      <c r="H953" s="85"/>
      <c r="I953" s="86">
        <v>41.56</v>
      </c>
      <c r="J953" s="185">
        <f t="shared" si="113"/>
        <v>394.34</v>
      </c>
      <c r="K953" s="189">
        <f t="shared" si="114"/>
        <v>47.32</v>
      </c>
      <c r="L953" s="189"/>
      <c r="M953" s="138"/>
      <c r="N953" s="138"/>
      <c r="O953" s="138"/>
      <c r="S953" s="72"/>
      <c r="T953" s="72"/>
      <c r="U953" s="72"/>
      <c r="V953" s="72"/>
    </row>
    <row r="954" spans="1:22" s="63" customFormat="1" ht="22.5" x14ac:dyDescent="0.25">
      <c r="A954" s="84">
        <v>7.2389999999999999</v>
      </c>
      <c r="B954" s="81" t="s">
        <v>48</v>
      </c>
      <c r="C954" s="80">
        <v>74.2</v>
      </c>
      <c r="D954" s="131" t="s">
        <v>888</v>
      </c>
      <c r="E954" s="83" t="s">
        <v>889</v>
      </c>
      <c r="F954" s="81" t="s">
        <v>226</v>
      </c>
      <c r="G954" s="88">
        <v>2.0000000000000001E-4</v>
      </c>
      <c r="H954" s="85"/>
      <c r="I954" s="86">
        <v>93.86</v>
      </c>
      <c r="J954" s="185">
        <f t="shared" si="113"/>
        <v>534344.98</v>
      </c>
      <c r="K954" s="189">
        <f t="shared" si="114"/>
        <v>106.87</v>
      </c>
      <c r="L954" s="189"/>
      <c r="M954" s="138"/>
      <c r="N954" s="138"/>
      <c r="O954" s="138"/>
      <c r="S954" s="72"/>
      <c r="T954" s="72"/>
      <c r="U954" s="72"/>
      <c r="V954" s="72"/>
    </row>
    <row r="955" spans="1:22" s="63" customFormat="1" ht="22.5" x14ac:dyDescent="0.25">
      <c r="A955" s="84">
        <v>7.24</v>
      </c>
      <c r="B955" s="81" t="s">
        <v>48</v>
      </c>
      <c r="C955" s="80">
        <v>74.3</v>
      </c>
      <c r="D955" s="131" t="s">
        <v>943</v>
      </c>
      <c r="E955" s="83" t="s">
        <v>944</v>
      </c>
      <c r="F955" s="81" t="s">
        <v>491</v>
      </c>
      <c r="G955" s="82">
        <v>3</v>
      </c>
      <c r="H955" s="85"/>
      <c r="I955" s="86">
        <v>66591.210000000006</v>
      </c>
      <c r="J955" s="185">
        <f t="shared" si="113"/>
        <v>25273.58</v>
      </c>
      <c r="K955" s="189">
        <f t="shared" si="114"/>
        <v>75820.740000000005</v>
      </c>
      <c r="L955" s="189"/>
      <c r="M955" s="138"/>
      <c r="N955" s="138"/>
      <c r="O955" s="138"/>
      <c r="S955" s="72"/>
      <c r="T955" s="72"/>
      <c r="U955" s="72"/>
      <c r="V955" s="72"/>
    </row>
    <row r="956" spans="1:22" s="63" customFormat="1" ht="22.5" x14ac:dyDescent="0.25">
      <c r="A956" s="84">
        <v>7.2409999999999997</v>
      </c>
      <c r="B956" s="81" t="s">
        <v>48</v>
      </c>
      <c r="C956" s="80">
        <v>74.400000000000006</v>
      </c>
      <c r="D956" s="131" t="s">
        <v>899</v>
      </c>
      <c r="E956" s="83" t="s">
        <v>900</v>
      </c>
      <c r="F956" s="81" t="s">
        <v>566</v>
      </c>
      <c r="G956" s="80">
        <v>0.3</v>
      </c>
      <c r="H956" s="85"/>
      <c r="I956" s="86">
        <v>304.5</v>
      </c>
      <c r="J956" s="185">
        <f t="shared" si="113"/>
        <v>1155.68</v>
      </c>
      <c r="K956" s="189">
        <f t="shared" si="114"/>
        <v>346.7</v>
      </c>
      <c r="L956" s="189"/>
      <c r="M956" s="138"/>
      <c r="N956" s="138"/>
      <c r="O956" s="138"/>
      <c r="S956" s="72"/>
      <c r="T956" s="72"/>
      <c r="U956" s="72"/>
      <c r="V956" s="72"/>
    </row>
    <row r="957" spans="1:22" s="63" customFormat="1" ht="22.5" x14ac:dyDescent="0.25">
      <c r="A957" s="84">
        <v>7.242</v>
      </c>
      <c r="B957" s="81" t="s">
        <v>48</v>
      </c>
      <c r="C957" s="80">
        <v>74.5</v>
      </c>
      <c r="D957" s="131" t="s">
        <v>929</v>
      </c>
      <c r="E957" s="83" t="s">
        <v>930</v>
      </c>
      <c r="F957" s="81" t="s">
        <v>219</v>
      </c>
      <c r="G957" s="82">
        <v>3</v>
      </c>
      <c r="H957" s="85"/>
      <c r="I957" s="86">
        <v>1398.07</v>
      </c>
      <c r="J957" s="185">
        <f t="shared" si="113"/>
        <v>530.61</v>
      </c>
      <c r="K957" s="189">
        <f t="shared" si="114"/>
        <v>1591.83</v>
      </c>
      <c r="L957" s="189"/>
      <c r="M957" s="138"/>
      <c r="N957" s="138"/>
      <c r="O957" s="138"/>
      <c r="S957" s="72"/>
      <c r="T957" s="72"/>
      <c r="U957" s="72"/>
      <c r="V957" s="72"/>
    </row>
    <row r="958" spans="1:22" s="63" customFormat="1" ht="15" x14ac:dyDescent="0.25">
      <c r="A958" s="84">
        <v>7.2430000000000003</v>
      </c>
      <c r="B958" s="81" t="s">
        <v>48</v>
      </c>
      <c r="C958" s="82">
        <v>75</v>
      </c>
      <c r="D958" s="131" t="s">
        <v>892</v>
      </c>
      <c r="E958" s="83" t="s">
        <v>893</v>
      </c>
      <c r="F958" s="81" t="s">
        <v>687</v>
      </c>
      <c r="G958" s="80">
        <v>0.3</v>
      </c>
      <c r="H958" s="85"/>
      <c r="I958" s="86">
        <v>7939.15</v>
      </c>
      <c r="J958" s="185">
        <f t="shared" si="113"/>
        <v>30131.72</v>
      </c>
      <c r="K958" s="189">
        <f t="shared" si="114"/>
        <v>9039.52</v>
      </c>
      <c r="L958" s="189"/>
      <c r="M958" s="138"/>
      <c r="N958" s="138"/>
      <c r="O958" s="138"/>
      <c r="S958" s="72"/>
      <c r="T958" s="72"/>
      <c r="U958" s="72"/>
      <c r="V958" s="72"/>
    </row>
    <row r="959" spans="1:22" s="63" customFormat="1" ht="22.5" x14ac:dyDescent="0.25">
      <c r="A959" s="84">
        <v>7.2439999999999998</v>
      </c>
      <c r="B959" s="81" t="s">
        <v>48</v>
      </c>
      <c r="C959" s="80">
        <v>75.099999999999994</v>
      </c>
      <c r="D959" s="131" t="s">
        <v>542</v>
      </c>
      <c r="E959" s="83" t="s">
        <v>543</v>
      </c>
      <c r="F959" s="81" t="s">
        <v>216</v>
      </c>
      <c r="G959" s="87">
        <v>0.12</v>
      </c>
      <c r="H959" s="85"/>
      <c r="I959" s="86">
        <v>41.56</v>
      </c>
      <c r="J959" s="185">
        <f t="shared" si="113"/>
        <v>394.34</v>
      </c>
      <c r="K959" s="189">
        <f t="shared" si="114"/>
        <v>47.32</v>
      </c>
      <c r="L959" s="189"/>
      <c r="M959" s="138"/>
      <c r="N959" s="138"/>
      <c r="O959" s="138"/>
      <c r="S959" s="72"/>
      <c r="T959" s="72"/>
      <c r="U959" s="72"/>
      <c r="V959" s="72"/>
    </row>
    <row r="960" spans="1:22" s="63" customFormat="1" ht="22.5" x14ac:dyDescent="0.25">
      <c r="A960" s="84">
        <v>7.2450000000000001</v>
      </c>
      <c r="B960" s="81" t="s">
        <v>48</v>
      </c>
      <c r="C960" s="80">
        <v>75.2</v>
      </c>
      <c r="D960" s="131" t="s">
        <v>888</v>
      </c>
      <c r="E960" s="83" t="s">
        <v>889</v>
      </c>
      <c r="F960" s="81" t="s">
        <v>226</v>
      </c>
      <c r="G960" s="88">
        <v>2.0000000000000001E-4</v>
      </c>
      <c r="H960" s="85"/>
      <c r="I960" s="86">
        <v>93.86</v>
      </c>
      <c r="J960" s="185">
        <f t="shared" si="113"/>
        <v>534344.98</v>
      </c>
      <c r="K960" s="189">
        <f t="shared" si="114"/>
        <v>106.87</v>
      </c>
      <c r="L960" s="189"/>
      <c r="M960" s="138"/>
      <c r="N960" s="138"/>
      <c r="O960" s="138"/>
      <c r="S960" s="72"/>
      <c r="T960" s="72"/>
      <c r="U960" s="72"/>
      <c r="V960" s="72"/>
    </row>
    <row r="961" spans="1:22" s="63" customFormat="1" ht="22.5" x14ac:dyDescent="0.25">
      <c r="A961" s="84">
        <v>7.2460000000000004</v>
      </c>
      <c r="B961" s="81" t="s">
        <v>48</v>
      </c>
      <c r="C961" s="80">
        <v>75.3</v>
      </c>
      <c r="D961" s="131" t="s">
        <v>945</v>
      </c>
      <c r="E961" s="83" t="s">
        <v>3517</v>
      </c>
      <c r="F961" s="81" t="s">
        <v>491</v>
      </c>
      <c r="G961" s="82">
        <v>3</v>
      </c>
      <c r="H961" s="85"/>
      <c r="I961" s="86">
        <v>14615.15</v>
      </c>
      <c r="J961" s="185">
        <f t="shared" si="113"/>
        <v>5546.94</v>
      </c>
      <c r="K961" s="189">
        <f t="shared" si="114"/>
        <v>16640.82</v>
      </c>
      <c r="L961" s="189"/>
      <c r="M961" s="138"/>
      <c r="N961" s="138"/>
      <c r="O961" s="138"/>
      <c r="S961" s="72"/>
      <c r="T961" s="72"/>
      <c r="U961" s="72"/>
      <c r="V961" s="72"/>
    </row>
    <row r="962" spans="1:22" s="63" customFormat="1" ht="22.5" x14ac:dyDescent="0.25">
      <c r="A962" s="84">
        <v>7.2469999999999999</v>
      </c>
      <c r="B962" s="81" t="s">
        <v>48</v>
      </c>
      <c r="C962" s="80">
        <v>75.400000000000006</v>
      </c>
      <c r="D962" s="131" t="s">
        <v>932</v>
      </c>
      <c r="E962" s="83" t="s">
        <v>3511</v>
      </c>
      <c r="F962" s="81" t="s">
        <v>219</v>
      </c>
      <c r="G962" s="82">
        <v>3</v>
      </c>
      <c r="H962" s="85"/>
      <c r="I962" s="86">
        <v>17231.82</v>
      </c>
      <c r="J962" s="185">
        <f t="shared" si="113"/>
        <v>6540.05</v>
      </c>
      <c r="K962" s="189">
        <f t="shared" si="114"/>
        <v>19620.150000000001</v>
      </c>
      <c r="L962" s="189"/>
      <c r="M962" s="138"/>
      <c r="N962" s="138"/>
      <c r="O962" s="138"/>
      <c r="S962" s="72"/>
      <c r="T962" s="72"/>
      <c r="U962" s="72"/>
      <c r="V962" s="72"/>
    </row>
    <row r="963" spans="1:22" s="63" customFormat="1" ht="22.5" x14ac:dyDescent="0.25">
      <c r="A963" s="84">
        <v>7.2480000000000002</v>
      </c>
      <c r="B963" s="81" t="s">
        <v>48</v>
      </c>
      <c r="C963" s="80">
        <v>75.5</v>
      </c>
      <c r="D963" s="131" t="s">
        <v>897</v>
      </c>
      <c r="E963" s="83" t="s">
        <v>898</v>
      </c>
      <c r="F963" s="81" t="s">
        <v>491</v>
      </c>
      <c r="G963" s="82">
        <v>3</v>
      </c>
      <c r="H963" s="85"/>
      <c r="I963" s="86">
        <v>558.11</v>
      </c>
      <c r="J963" s="185">
        <f t="shared" si="113"/>
        <v>211.82</v>
      </c>
      <c r="K963" s="189">
        <f t="shared" si="114"/>
        <v>635.46</v>
      </c>
      <c r="L963" s="189"/>
      <c r="M963" s="138"/>
      <c r="N963" s="138"/>
      <c r="O963" s="138"/>
      <c r="S963" s="72"/>
      <c r="T963" s="72"/>
      <c r="U963" s="72"/>
      <c r="V963" s="72"/>
    </row>
    <row r="964" spans="1:22" s="63" customFormat="1" ht="22.5" x14ac:dyDescent="0.25">
      <c r="A964" s="84">
        <v>7.2489999999999997</v>
      </c>
      <c r="B964" s="81" t="s">
        <v>48</v>
      </c>
      <c r="C964" s="80">
        <v>75.599999999999994</v>
      </c>
      <c r="D964" s="131" t="s">
        <v>899</v>
      </c>
      <c r="E964" s="83" t="s">
        <v>900</v>
      </c>
      <c r="F964" s="81" t="s">
        <v>566</v>
      </c>
      <c r="G964" s="80">
        <v>0.6</v>
      </c>
      <c r="H964" s="85"/>
      <c r="I964" s="86">
        <v>608.99</v>
      </c>
      <c r="J964" s="185">
        <f t="shared" si="113"/>
        <v>1155.6600000000001</v>
      </c>
      <c r="K964" s="189">
        <f t="shared" si="114"/>
        <v>693.4</v>
      </c>
      <c r="L964" s="189"/>
      <c r="M964" s="138"/>
      <c r="N964" s="138"/>
      <c r="O964" s="138"/>
      <c r="S964" s="72"/>
      <c r="T964" s="72"/>
      <c r="U964" s="72"/>
      <c r="V964" s="72"/>
    </row>
    <row r="965" spans="1:22" s="63" customFormat="1" ht="22.5" x14ac:dyDescent="0.25">
      <c r="A965" s="84">
        <v>7.25</v>
      </c>
      <c r="B965" s="81" t="s">
        <v>48</v>
      </c>
      <c r="C965" s="80">
        <v>75.7</v>
      </c>
      <c r="D965" s="131" t="s">
        <v>929</v>
      </c>
      <c r="E965" s="83" t="s">
        <v>930</v>
      </c>
      <c r="F965" s="81" t="s">
        <v>219</v>
      </c>
      <c r="G965" s="82">
        <v>6</v>
      </c>
      <c r="H965" s="85"/>
      <c r="I965" s="86">
        <v>2796.13</v>
      </c>
      <c r="J965" s="185">
        <f t="shared" si="113"/>
        <v>530.61</v>
      </c>
      <c r="K965" s="189">
        <f t="shared" si="114"/>
        <v>3183.66</v>
      </c>
      <c r="L965" s="189"/>
      <c r="M965" s="138"/>
      <c r="N965" s="138"/>
      <c r="O965" s="138"/>
      <c r="S965" s="72"/>
      <c r="T965" s="72"/>
      <c r="U965" s="72"/>
      <c r="V965" s="72"/>
    </row>
    <row r="966" spans="1:22" s="63" customFormat="1" ht="22.5" x14ac:dyDescent="0.25">
      <c r="A966" s="84">
        <v>7.2510000000000003</v>
      </c>
      <c r="B966" s="81" t="s">
        <v>48</v>
      </c>
      <c r="C966" s="82">
        <v>76</v>
      </c>
      <c r="D966" s="131" t="s">
        <v>946</v>
      </c>
      <c r="E966" s="83" t="s">
        <v>947</v>
      </c>
      <c r="F966" s="81" t="s">
        <v>566</v>
      </c>
      <c r="G966" s="80">
        <v>0.9</v>
      </c>
      <c r="H966" s="85"/>
      <c r="I966" s="86">
        <v>2963.93</v>
      </c>
      <c r="J966" s="185">
        <f t="shared" si="113"/>
        <v>3749.7</v>
      </c>
      <c r="K966" s="189">
        <f t="shared" si="114"/>
        <v>3374.73</v>
      </c>
      <c r="L966" s="189"/>
      <c r="M966" s="138"/>
      <c r="N966" s="138"/>
      <c r="O966" s="138"/>
      <c r="S966" s="72"/>
      <c r="T966" s="72"/>
      <c r="U966" s="72"/>
      <c r="V966" s="72"/>
    </row>
    <row r="967" spans="1:22" s="63" customFormat="1" ht="22.5" x14ac:dyDescent="0.25">
      <c r="A967" s="84">
        <v>7.2519999999999998</v>
      </c>
      <c r="B967" s="81" t="s">
        <v>48</v>
      </c>
      <c r="C967" s="80">
        <v>76.099999999999994</v>
      </c>
      <c r="D967" s="131" t="s">
        <v>948</v>
      </c>
      <c r="E967" s="83" t="s">
        <v>3518</v>
      </c>
      <c r="F967" s="81" t="s">
        <v>491</v>
      </c>
      <c r="G967" s="82">
        <v>3</v>
      </c>
      <c r="H967" s="85"/>
      <c r="I967" s="86">
        <v>14417.21</v>
      </c>
      <c r="J967" s="185">
        <f t="shared" si="113"/>
        <v>5471.81</v>
      </c>
      <c r="K967" s="189">
        <f t="shared" si="114"/>
        <v>16415.43</v>
      </c>
      <c r="L967" s="189"/>
      <c r="M967" s="138"/>
      <c r="N967" s="138"/>
      <c r="O967" s="138"/>
      <c r="S967" s="72"/>
      <c r="T967" s="72"/>
      <c r="U967" s="72"/>
      <c r="V967" s="72"/>
    </row>
    <row r="968" spans="1:22" s="63" customFormat="1" ht="22.5" x14ac:dyDescent="0.25">
      <c r="A968" s="84">
        <v>7.2530000000000001</v>
      </c>
      <c r="B968" s="81" t="s">
        <v>48</v>
      </c>
      <c r="C968" s="80">
        <v>76.2</v>
      </c>
      <c r="D968" s="131" t="s">
        <v>949</v>
      </c>
      <c r="E968" s="83" t="s">
        <v>3519</v>
      </c>
      <c r="F968" s="81" t="s">
        <v>491</v>
      </c>
      <c r="G968" s="82">
        <v>3</v>
      </c>
      <c r="H968" s="85"/>
      <c r="I968" s="86">
        <v>19500.66</v>
      </c>
      <c r="J968" s="185">
        <f t="shared" si="113"/>
        <v>7401.15</v>
      </c>
      <c r="K968" s="189">
        <f t="shared" si="114"/>
        <v>22203.45</v>
      </c>
      <c r="L968" s="189"/>
      <c r="M968" s="138"/>
      <c r="N968" s="138"/>
      <c r="O968" s="138"/>
      <c r="S968" s="72"/>
      <c r="T968" s="72"/>
      <c r="U968" s="72"/>
      <c r="V968" s="72"/>
    </row>
    <row r="969" spans="1:22" s="63" customFormat="1" ht="22.5" x14ac:dyDescent="0.25">
      <c r="A969" s="84">
        <v>7.2539999999999996</v>
      </c>
      <c r="B969" s="81" t="s">
        <v>48</v>
      </c>
      <c r="C969" s="80">
        <v>76.3</v>
      </c>
      <c r="D969" s="131" t="s">
        <v>950</v>
      </c>
      <c r="E969" s="83" t="s">
        <v>3520</v>
      </c>
      <c r="F969" s="81" t="s">
        <v>491</v>
      </c>
      <c r="G969" s="82">
        <v>3</v>
      </c>
      <c r="H969" s="85"/>
      <c r="I969" s="86">
        <v>17471.13</v>
      </c>
      <c r="J969" s="185">
        <f t="shared" si="113"/>
        <v>6630.88</v>
      </c>
      <c r="K969" s="189">
        <f t="shared" si="114"/>
        <v>19892.64</v>
      </c>
      <c r="L969" s="189"/>
      <c r="M969" s="138"/>
      <c r="N969" s="138"/>
      <c r="O969" s="138"/>
      <c r="S969" s="72"/>
      <c r="T969" s="72"/>
      <c r="U969" s="72"/>
      <c r="V969" s="72"/>
    </row>
    <row r="970" spans="1:22" s="63" customFormat="1" ht="22.5" x14ac:dyDescent="0.25">
      <c r="A970" s="84">
        <v>7.2549999999999999</v>
      </c>
      <c r="B970" s="81" t="s">
        <v>48</v>
      </c>
      <c r="C970" s="80">
        <v>76.400000000000006</v>
      </c>
      <c r="D970" s="131" t="s">
        <v>542</v>
      </c>
      <c r="E970" s="83" t="s">
        <v>543</v>
      </c>
      <c r="F970" s="81" t="s">
        <v>216</v>
      </c>
      <c r="G970" s="87">
        <v>0.18</v>
      </c>
      <c r="H970" s="85"/>
      <c r="I970" s="86">
        <v>62.34</v>
      </c>
      <c r="J970" s="185">
        <f t="shared" si="113"/>
        <v>394.34</v>
      </c>
      <c r="K970" s="189">
        <f t="shared" si="114"/>
        <v>70.98</v>
      </c>
      <c r="L970" s="189"/>
      <c r="M970" s="138"/>
      <c r="N970" s="138"/>
      <c r="O970" s="138"/>
      <c r="S970" s="72"/>
      <c r="T970" s="72"/>
      <c r="U970" s="72"/>
      <c r="V970" s="72"/>
    </row>
    <row r="971" spans="1:22" s="63" customFormat="1" ht="22.5" x14ac:dyDescent="0.25">
      <c r="A971" s="84">
        <v>7.2560000000000002</v>
      </c>
      <c r="B971" s="81" t="s">
        <v>48</v>
      </c>
      <c r="C971" s="80">
        <v>76.5</v>
      </c>
      <c r="D971" s="131" t="s">
        <v>888</v>
      </c>
      <c r="E971" s="83" t="s">
        <v>889</v>
      </c>
      <c r="F971" s="81" t="s">
        <v>226</v>
      </c>
      <c r="G971" s="88">
        <v>1E-4</v>
      </c>
      <c r="H971" s="85"/>
      <c r="I971" s="86">
        <v>46.89</v>
      </c>
      <c r="J971" s="185">
        <f t="shared" si="113"/>
        <v>533889.54</v>
      </c>
      <c r="K971" s="189">
        <f t="shared" si="114"/>
        <v>53.39</v>
      </c>
      <c r="L971" s="189"/>
      <c r="M971" s="138"/>
      <c r="N971" s="138"/>
      <c r="O971" s="138"/>
      <c r="S971" s="72"/>
      <c r="T971" s="72"/>
      <c r="U971" s="72"/>
      <c r="V971" s="72"/>
    </row>
    <row r="972" spans="1:22" s="128" customFormat="1" ht="12.75" x14ac:dyDescent="0.25">
      <c r="A972" s="242"/>
      <c r="B972" s="125"/>
      <c r="C972" s="236"/>
      <c r="D972" s="77"/>
      <c r="E972" s="126" t="s">
        <v>3284</v>
      </c>
      <c r="F972" s="125"/>
      <c r="G972" s="240"/>
      <c r="H972" s="127"/>
      <c r="I972" s="78"/>
      <c r="J972" s="238"/>
      <c r="K972" s="239"/>
      <c r="L972" s="239"/>
      <c r="M972" s="79"/>
      <c r="N972" s="79"/>
      <c r="O972" s="79"/>
      <c r="S972" s="129"/>
      <c r="T972" s="129"/>
      <c r="U972" s="129"/>
      <c r="V972" s="129"/>
    </row>
    <row r="973" spans="1:22" s="63" customFormat="1" ht="22.5" x14ac:dyDescent="0.25">
      <c r="A973" s="84">
        <v>7.2569999999999997</v>
      </c>
      <c r="B973" s="81" t="s">
        <v>48</v>
      </c>
      <c r="C973" s="82">
        <v>77</v>
      </c>
      <c r="D973" s="131" t="s">
        <v>801</v>
      </c>
      <c r="E973" s="83" t="s">
        <v>802</v>
      </c>
      <c r="F973" s="81" t="s">
        <v>354</v>
      </c>
      <c r="G973" s="80">
        <v>0.2</v>
      </c>
      <c r="H973" s="85"/>
      <c r="I973" s="86">
        <v>23875.07</v>
      </c>
      <c r="J973" s="185">
        <f>ROUND($I973/$G973*$N$11,2)</f>
        <v>135920.76999999999</v>
      </c>
      <c r="K973" s="189">
        <f t="shared" ref="K973:K989" si="115">ROUND(G973*J973,2)</f>
        <v>27184.15</v>
      </c>
      <c r="L973" s="189"/>
      <c r="M973" s="138"/>
      <c r="N973" s="138"/>
      <c r="O973" s="138"/>
      <c r="S973" s="72"/>
      <c r="T973" s="72"/>
      <c r="U973" s="72"/>
      <c r="V973" s="72"/>
    </row>
    <row r="974" spans="1:22" s="63" customFormat="1" ht="33.75" x14ac:dyDescent="0.25">
      <c r="A974" s="84">
        <v>7.258</v>
      </c>
      <c r="B974" s="81" t="s">
        <v>48</v>
      </c>
      <c r="C974" s="80">
        <v>77.099999999999994</v>
      </c>
      <c r="D974" s="131" t="s">
        <v>951</v>
      </c>
      <c r="E974" s="83" t="s">
        <v>952</v>
      </c>
      <c r="F974" s="81" t="s">
        <v>334</v>
      </c>
      <c r="G974" s="80">
        <v>20.100000000000001</v>
      </c>
      <c r="H974" s="85"/>
      <c r="I974" s="86">
        <v>821.04</v>
      </c>
      <c r="J974" s="185">
        <f>ROUND($I974/$G974*$N$11,2)</f>
        <v>46.51</v>
      </c>
      <c r="K974" s="189">
        <f t="shared" si="115"/>
        <v>934.85</v>
      </c>
      <c r="L974" s="189"/>
      <c r="M974" s="138"/>
      <c r="N974" s="138"/>
      <c r="O974" s="138"/>
      <c r="S974" s="72"/>
      <c r="T974" s="72"/>
      <c r="U974" s="72"/>
      <c r="V974" s="72"/>
    </row>
    <row r="975" spans="1:22" s="63" customFormat="1" ht="22.5" x14ac:dyDescent="0.25">
      <c r="A975" s="84">
        <v>7.2590000000000003</v>
      </c>
      <c r="B975" s="81" t="s">
        <v>48</v>
      </c>
      <c r="C975" s="80">
        <v>77.2</v>
      </c>
      <c r="D975" s="131" t="s">
        <v>874</v>
      </c>
      <c r="E975" s="83" t="s">
        <v>875</v>
      </c>
      <c r="F975" s="81" t="s">
        <v>219</v>
      </c>
      <c r="G975" s="82">
        <v>21</v>
      </c>
      <c r="H975" s="85"/>
      <c r="I975" s="86">
        <v>4602.33</v>
      </c>
      <c r="J975" s="185">
        <f>ROUND($I975/$G975*$N$11,2)</f>
        <v>249.53</v>
      </c>
      <c r="K975" s="189">
        <f t="shared" si="115"/>
        <v>5240.13</v>
      </c>
      <c r="L975" s="189"/>
      <c r="M975" s="138"/>
      <c r="N975" s="138"/>
      <c r="O975" s="138"/>
      <c r="S975" s="72"/>
      <c r="T975" s="72"/>
      <c r="U975" s="72"/>
      <c r="V975" s="72"/>
    </row>
    <row r="976" spans="1:22" s="63" customFormat="1" ht="22.5" x14ac:dyDescent="0.25">
      <c r="A976" s="84">
        <v>7.26</v>
      </c>
      <c r="B976" s="81" t="s">
        <v>48</v>
      </c>
      <c r="C976" s="80">
        <v>77.3</v>
      </c>
      <c r="D976" s="131" t="s">
        <v>843</v>
      </c>
      <c r="E976" s="83" t="s">
        <v>844</v>
      </c>
      <c r="F976" s="81" t="s">
        <v>219</v>
      </c>
      <c r="G976" s="82">
        <v>4</v>
      </c>
      <c r="H976" s="85"/>
      <c r="I976" s="86">
        <v>558.02</v>
      </c>
      <c r="J976" s="185">
        <f>ROUND($I976/$G976*$N$11,2)</f>
        <v>158.84</v>
      </c>
      <c r="K976" s="189">
        <f t="shared" si="115"/>
        <v>635.36</v>
      </c>
      <c r="L976" s="189"/>
      <c r="M976" s="138"/>
      <c r="N976" s="138"/>
      <c r="O976" s="138"/>
      <c r="S976" s="72"/>
      <c r="T976" s="72"/>
      <c r="U976" s="72"/>
      <c r="V976" s="72"/>
    </row>
    <row r="977" spans="1:22" s="63" customFormat="1" ht="22.5" x14ac:dyDescent="0.25">
      <c r="A977" s="108">
        <v>7.2610000000000001</v>
      </c>
      <c r="B977" s="102" t="s">
        <v>48</v>
      </c>
      <c r="C977" s="103">
        <v>77.400000000000006</v>
      </c>
      <c r="D977" s="167" t="s">
        <v>953</v>
      </c>
      <c r="E977" s="104" t="s">
        <v>954</v>
      </c>
      <c r="F977" s="102" t="s">
        <v>219</v>
      </c>
      <c r="G977" s="105">
        <v>4</v>
      </c>
      <c r="H977" s="106"/>
      <c r="I977" s="107">
        <v>28092.6</v>
      </c>
      <c r="J977" s="192">
        <f>ROUND($I977/$G977*$N$12,2)</f>
        <v>7855.39</v>
      </c>
      <c r="K977" s="193">
        <f t="shared" si="115"/>
        <v>31421.56</v>
      </c>
      <c r="L977" s="193"/>
      <c r="M977" s="138"/>
      <c r="N977" s="138"/>
      <c r="O977" s="138"/>
      <c r="S977" s="72"/>
      <c r="T977" s="72"/>
      <c r="U977" s="72"/>
      <c r="V977" s="72"/>
    </row>
    <row r="978" spans="1:22" s="63" customFormat="1" ht="15" x14ac:dyDescent="0.25">
      <c r="A978" s="84">
        <v>7.2619999999999996</v>
      </c>
      <c r="B978" s="81" t="s">
        <v>48</v>
      </c>
      <c r="C978" s="82">
        <v>78</v>
      </c>
      <c r="D978" s="131" t="s">
        <v>717</v>
      </c>
      <c r="E978" s="83" t="s">
        <v>718</v>
      </c>
      <c r="F978" s="81" t="s">
        <v>219</v>
      </c>
      <c r="G978" s="82">
        <v>4</v>
      </c>
      <c r="H978" s="85"/>
      <c r="I978" s="86">
        <v>9002.9</v>
      </c>
      <c r="J978" s="185">
        <f t="shared" ref="J978:J989" si="116">ROUND($I978/$G978*$N$11,2)</f>
        <v>2562.6799999999998</v>
      </c>
      <c r="K978" s="189">
        <f t="shared" si="115"/>
        <v>10250.719999999999</v>
      </c>
      <c r="L978" s="189"/>
      <c r="M978" s="138"/>
      <c r="N978" s="138"/>
      <c r="O978" s="138"/>
      <c r="S978" s="72"/>
      <c r="T978" s="72"/>
      <c r="U978" s="72"/>
      <c r="V978" s="72"/>
    </row>
    <row r="979" spans="1:22" s="63" customFormat="1" ht="22.5" x14ac:dyDescent="0.25">
      <c r="A979" s="84">
        <v>7.2629999999999999</v>
      </c>
      <c r="B979" s="81" t="s">
        <v>48</v>
      </c>
      <c r="C979" s="80">
        <v>78.099999999999994</v>
      </c>
      <c r="D979" s="131" t="s">
        <v>719</v>
      </c>
      <c r="E979" s="83" t="s">
        <v>720</v>
      </c>
      <c r="F979" s="81" t="s">
        <v>219</v>
      </c>
      <c r="G979" s="82">
        <v>4</v>
      </c>
      <c r="H979" s="85"/>
      <c r="I979" s="86">
        <v>1732.31</v>
      </c>
      <c r="J979" s="185">
        <f t="shared" si="116"/>
        <v>493.1</v>
      </c>
      <c r="K979" s="189">
        <f t="shared" si="115"/>
        <v>1972.4</v>
      </c>
      <c r="L979" s="189"/>
      <c r="M979" s="138"/>
      <c r="N979" s="138"/>
      <c r="O979" s="138"/>
      <c r="S979" s="72"/>
      <c r="T979" s="72"/>
      <c r="U979" s="72"/>
      <c r="V979" s="72"/>
    </row>
    <row r="980" spans="1:22" s="63" customFormat="1" ht="22.5" x14ac:dyDescent="0.25">
      <c r="A980" s="84">
        <v>7.2640000000000002</v>
      </c>
      <c r="B980" s="81" t="s">
        <v>48</v>
      </c>
      <c r="C980" s="82">
        <v>79</v>
      </c>
      <c r="D980" s="131" t="s">
        <v>770</v>
      </c>
      <c r="E980" s="83" t="s">
        <v>771</v>
      </c>
      <c r="F980" s="81" t="s">
        <v>772</v>
      </c>
      <c r="G980" s="80">
        <v>8.4</v>
      </c>
      <c r="H980" s="85"/>
      <c r="I980" s="86">
        <v>39410.400000000001</v>
      </c>
      <c r="J980" s="185">
        <f t="shared" si="116"/>
        <v>5341.99</v>
      </c>
      <c r="K980" s="189">
        <f t="shared" si="115"/>
        <v>44872.72</v>
      </c>
      <c r="L980" s="189"/>
      <c r="M980" s="138"/>
      <c r="N980" s="138"/>
      <c r="O980" s="138"/>
      <c r="S980" s="72"/>
      <c r="T980" s="72"/>
      <c r="U980" s="72"/>
      <c r="V980" s="72"/>
    </row>
    <row r="981" spans="1:22" s="63" customFormat="1" ht="22.5" x14ac:dyDescent="0.25">
      <c r="A981" s="84">
        <v>7.2649999999999997</v>
      </c>
      <c r="B981" s="81" t="s">
        <v>48</v>
      </c>
      <c r="C981" s="80">
        <v>79.099999999999994</v>
      </c>
      <c r="D981" s="131" t="s">
        <v>955</v>
      </c>
      <c r="E981" s="83" t="s">
        <v>956</v>
      </c>
      <c r="F981" s="81" t="s">
        <v>354</v>
      </c>
      <c r="G981" s="84">
        <v>0.92400000000000004</v>
      </c>
      <c r="H981" s="85"/>
      <c r="I981" s="86">
        <v>8443.99</v>
      </c>
      <c r="J981" s="185">
        <f t="shared" si="116"/>
        <v>10405.120000000001</v>
      </c>
      <c r="K981" s="189">
        <f t="shared" si="115"/>
        <v>9614.33</v>
      </c>
      <c r="L981" s="189"/>
      <c r="M981" s="138"/>
      <c r="N981" s="138"/>
      <c r="O981" s="138"/>
      <c r="S981" s="72"/>
      <c r="T981" s="72"/>
      <c r="U981" s="72"/>
      <c r="V981" s="72"/>
    </row>
    <row r="982" spans="1:22" s="63" customFormat="1" ht="22.5" x14ac:dyDescent="0.25">
      <c r="A982" s="84">
        <v>7.266</v>
      </c>
      <c r="B982" s="81" t="s">
        <v>48</v>
      </c>
      <c r="C982" s="82">
        <v>80</v>
      </c>
      <c r="D982" s="131" t="s">
        <v>757</v>
      </c>
      <c r="E982" s="83" t="s">
        <v>957</v>
      </c>
      <c r="F982" s="81" t="s">
        <v>354</v>
      </c>
      <c r="G982" s="80">
        <v>1.5</v>
      </c>
      <c r="H982" s="85"/>
      <c r="I982" s="86">
        <v>88196.4</v>
      </c>
      <c r="J982" s="185">
        <f t="shared" si="116"/>
        <v>66946.95</v>
      </c>
      <c r="K982" s="189">
        <f t="shared" si="115"/>
        <v>100420.43</v>
      </c>
      <c r="L982" s="189"/>
      <c r="M982" s="138"/>
      <c r="N982" s="138"/>
      <c r="O982" s="138"/>
      <c r="S982" s="72"/>
      <c r="T982" s="72"/>
      <c r="U982" s="72"/>
      <c r="V982" s="72"/>
    </row>
    <row r="983" spans="1:22" s="63" customFormat="1" ht="33.75" x14ac:dyDescent="0.25">
      <c r="A983" s="84">
        <v>7.2670000000000003</v>
      </c>
      <c r="B983" s="81" t="s">
        <v>48</v>
      </c>
      <c r="C983" s="80">
        <v>80.099999999999994</v>
      </c>
      <c r="D983" s="131" t="s">
        <v>759</v>
      </c>
      <c r="E983" s="83" t="s">
        <v>958</v>
      </c>
      <c r="F983" s="81" t="s">
        <v>334</v>
      </c>
      <c r="G983" s="82">
        <v>150</v>
      </c>
      <c r="H983" s="85"/>
      <c r="I983" s="86">
        <v>91028.88</v>
      </c>
      <c r="J983" s="185">
        <f t="shared" si="116"/>
        <v>690.97</v>
      </c>
      <c r="K983" s="189">
        <f t="shared" si="115"/>
        <v>103645.5</v>
      </c>
      <c r="L983" s="189"/>
      <c r="M983" s="138"/>
      <c r="N983" s="138"/>
      <c r="O983" s="138"/>
      <c r="S983" s="72"/>
      <c r="T983" s="72"/>
      <c r="U983" s="72"/>
      <c r="V983" s="72"/>
    </row>
    <row r="984" spans="1:22" s="63" customFormat="1" ht="22.5" x14ac:dyDescent="0.25">
      <c r="A984" s="84">
        <v>7.2679999999999998</v>
      </c>
      <c r="B984" s="81" t="s">
        <v>48</v>
      </c>
      <c r="C984" s="80">
        <v>80.2</v>
      </c>
      <c r="D984" s="131" t="s">
        <v>959</v>
      </c>
      <c r="E984" s="83" t="s">
        <v>960</v>
      </c>
      <c r="F984" s="81" t="s">
        <v>219</v>
      </c>
      <c r="G984" s="82">
        <v>75</v>
      </c>
      <c r="H984" s="85"/>
      <c r="I984" s="86">
        <v>3373.69</v>
      </c>
      <c r="J984" s="185">
        <f t="shared" si="116"/>
        <v>51.22</v>
      </c>
      <c r="K984" s="189">
        <f t="shared" si="115"/>
        <v>3841.5</v>
      </c>
      <c r="L984" s="189"/>
      <c r="M984" s="138"/>
      <c r="N984" s="138"/>
      <c r="O984" s="138"/>
      <c r="S984" s="72"/>
      <c r="T984" s="72"/>
      <c r="U984" s="72"/>
      <c r="V984" s="72"/>
    </row>
    <row r="985" spans="1:22" s="63" customFormat="1" ht="22.5" x14ac:dyDescent="0.25">
      <c r="A985" s="84">
        <v>7.2690000000000001</v>
      </c>
      <c r="B985" s="81" t="s">
        <v>48</v>
      </c>
      <c r="C985" s="82">
        <v>81</v>
      </c>
      <c r="D985" s="131" t="s">
        <v>766</v>
      </c>
      <c r="E985" s="83" t="s">
        <v>767</v>
      </c>
      <c r="F985" s="81" t="s">
        <v>354</v>
      </c>
      <c r="G985" s="80">
        <v>1.5</v>
      </c>
      <c r="H985" s="85"/>
      <c r="I985" s="86">
        <v>11677.83</v>
      </c>
      <c r="J985" s="185">
        <f t="shared" si="116"/>
        <v>8864.25</v>
      </c>
      <c r="K985" s="189">
        <f t="shared" si="115"/>
        <v>13296.38</v>
      </c>
      <c r="L985" s="189"/>
      <c r="M985" s="138"/>
      <c r="N985" s="138"/>
      <c r="O985" s="138"/>
      <c r="S985" s="72"/>
      <c r="T985" s="72"/>
      <c r="U985" s="72"/>
      <c r="V985" s="72"/>
    </row>
    <row r="986" spans="1:22" s="63" customFormat="1" ht="22.5" x14ac:dyDescent="0.25">
      <c r="A986" s="84">
        <v>7.27</v>
      </c>
      <c r="B986" s="81" t="s">
        <v>48</v>
      </c>
      <c r="C986" s="82">
        <v>82</v>
      </c>
      <c r="D986" s="131" t="s">
        <v>961</v>
      </c>
      <c r="E986" s="83" t="s">
        <v>962</v>
      </c>
      <c r="F986" s="81" t="s">
        <v>354</v>
      </c>
      <c r="G986" s="87">
        <v>0.64</v>
      </c>
      <c r="H986" s="85"/>
      <c r="I986" s="86">
        <v>28901.200000000001</v>
      </c>
      <c r="J986" s="185">
        <f t="shared" si="116"/>
        <v>51417.04</v>
      </c>
      <c r="K986" s="189">
        <f t="shared" si="115"/>
        <v>32906.910000000003</v>
      </c>
      <c r="L986" s="189"/>
      <c r="M986" s="138"/>
      <c r="N986" s="138"/>
      <c r="O986" s="138"/>
      <c r="S986" s="72"/>
      <c r="T986" s="72"/>
      <c r="U986" s="72"/>
      <c r="V986" s="72"/>
    </row>
    <row r="987" spans="1:22" s="63" customFormat="1" ht="33.75" x14ac:dyDescent="0.25">
      <c r="A987" s="84">
        <v>7.2709999999999999</v>
      </c>
      <c r="B987" s="81" t="s">
        <v>48</v>
      </c>
      <c r="C987" s="80">
        <v>82.1</v>
      </c>
      <c r="D987" s="131" t="s">
        <v>963</v>
      </c>
      <c r="E987" s="83" t="s">
        <v>964</v>
      </c>
      <c r="F987" s="81" t="s">
        <v>334</v>
      </c>
      <c r="G987" s="82">
        <v>64</v>
      </c>
      <c r="H987" s="85"/>
      <c r="I987" s="86">
        <v>13179.34</v>
      </c>
      <c r="J987" s="185">
        <f t="shared" si="116"/>
        <v>234.47</v>
      </c>
      <c r="K987" s="189">
        <f t="shared" si="115"/>
        <v>15006.08</v>
      </c>
      <c r="L987" s="189"/>
      <c r="M987" s="138"/>
      <c r="N987" s="138"/>
      <c r="O987" s="138"/>
      <c r="S987" s="72"/>
      <c r="T987" s="72"/>
      <c r="U987" s="72"/>
      <c r="V987" s="72"/>
    </row>
    <row r="988" spans="1:22" s="63" customFormat="1" ht="22.5" x14ac:dyDescent="0.25">
      <c r="A988" s="84">
        <v>7.2720000000000002</v>
      </c>
      <c r="B988" s="81" t="s">
        <v>48</v>
      </c>
      <c r="C988" s="80">
        <v>82.2</v>
      </c>
      <c r="D988" s="131" t="s">
        <v>965</v>
      </c>
      <c r="E988" s="83" t="s">
        <v>3521</v>
      </c>
      <c r="F988" s="81" t="s">
        <v>219</v>
      </c>
      <c r="G988" s="82">
        <v>22</v>
      </c>
      <c r="H988" s="85"/>
      <c r="I988" s="86">
        <v>362.66</v>
      </c>
      <c r="J988" s="185">
        <f t="shared" si="116"/>
        <v>18.77</v>
      </c>
      <c r="K988" s="189">
        <f t="shared" si="115"/>
        <v>412.94</v>
      </c>
      <c r="L988" s="189"/>
      <c r="M988" s="138"/>
      <c r="N988" s="138"/>
      <c r="O988" s="138"/>
      <c r="S988" s="72"/>
      <c r="T988" s="72"/>
      <c r="U988" s="72"/>
      <c r="V988" s="72"/>
    </row>
    <row r="989" spans="1:22" s="63" customFormat="1" ht="22.5" x14ac:dyDescent="0.25">
      <c r="A989" s="84">
        <v>7.2729999999999997</v>
      </c>
      <c r="B989" s="81" t="s">
        <v>48</v>
      </c>
      <c r="C989" s="82">
        <v>83</v>
      </c>
      <c r="D989" s="131" t="s">
        <v>766</v>
      </c>
      <c r="E989" s="83" t="s">
        <v>767</v>
      </c>
      <c r="F989" s="81" t="s">
        <v>354</v>
      </c>
      <c r="G989" s="87">
        <v>0.64</v>
      </c>
      <c r="H989" s="85"/>
      <c r="I989" s="86">
        <v>4981.92</v>
      </c>
      <c r="J989" s="185">
        <f t="shared" si="116"/>
        <v>8863.15</v>
      </c>
      <c r="K989" s="189">
        <f t="shared" si="115"/>
        <v>5672.42</v>
      </c>
      <c r="L989" s="189"/>
      <c r="M989" s="138"/>
      <c r="N989" s="138"/>
      <c r="O989" s="138"/>
      <c r="S989" s="72"/>
      <c r="T989" s="72"/>
      <c r="U989" s="72"/>
      <c r="V989" s="72"/>
    </row>
    <row r="990" spans="1:22" s="63" customFormat="1" ht="15" x14ac:dyDescent="0.25">
      <c r="A990" s="194">
        <v>8</v>
      </c>
      <c r="B990" s="418" t="s">
        <v>966</v>
      </c>
      <c r="C990" s="418"/>
      <c r="D990" s="418"/>
      <c r="E990" s="195" t="s">
        <v>69</v>
      </c>
      <c r="F990" s="196"/>
      <c r="G990" s="194">
        <v>1</v>
      </c>
      <c r="H990" s="197">
        <v>3109056.57</v>
      </c>
      <c r="I990" s="355">
        <f>SUM(I993:I1075)</f>
        <v>3109056.6199999987</v>
      </c>
      <c r="J990" s="200"/>
      <c r="K990" s="198">
        <f>SUM(K993:K1075)</f>
        <v>3504000.9600000004</v>
      </c>
      <c r="L990" s="198"/>
      <c r="M990" s="207"/>
      <c r="N990" s="209"/>
      <c r="O990" s="138"/>
      <c r="S990" s="72"/>
      <c r="T990" s="72"/>
      <c r="U990" s="72"/>
      <c r="V990" s="72"/>
    </row>
    <row r="991" spans="1:22" s="63" customFormat="1" ht="15" x14ac:dyDescent="0.25">
      <c r="A991" s="91"/>
      <c r="B991" s="92"/>
      <c r="C991" s="92"/>
      <c r="D991" s="166"/>
      <c r="E991" s="93" t="s">
        <v>651</v>
      </c>
      <c r="F991" s="94"/>
      <c r="G991" s="91"/>
      <c r="H991" s="95"/>
      <c r="I991" s="96">
        <f>I994+I996+I998+I999+I1001+I1002+I1004+I1005+I1007+I1009+I1011+I1016+I1018+I1020+I1022+I1024+I1025+I1027+I1029+I1031+I1033+I1035+I1037+I1038+I1039+I1042+I1043+I1045+I1047+I1049+I1051+I1053+I1054</f>
        <v>1789952.9100000004</v>
      </c>
      <c r="J991" s="191"/>
      <c r="K991" s="96">
        <f>K994+K996+K998+K999+K1001+K1002+K1004+K1005+K1007+K1009+K1011+K1016+K1018+K1020+K1022+K1024+K1025+K1027+K1029+K1031+K1033+K1035+K1037+K1038+K1039+K1042+K1043+K1045+K1047+K1049+K1051+K1053+K1054</f>
        <v>2002062.39</v>
      </c>
      <c r="L991" s="96"/>
      <c r="M991" s="207"/>
      <c r="N991" s="209"/>
      <c r="O991" s="138"/>
      <c r="S991" s="72"/>
      <c r="T991" s="72">
        <f>1789952.91</f>
        <v>1789952.91</v>
      </c>
      <c r="U991" s="109">
        <f>T991-I991</f>
        <v>0</v>
      </c>
      <c r="V991" s="72"/>
    </row>
    <row r="992" spans="1:22" s="179" customFormat="1" ht="25.5" x14ac:dyDescent="0.25">
      <c r="A992" s="216"/>
      <c r="B992" s="217"/>
      <c r="C992" s="217"/>
      <c r="D992" s="248"/>
      <c r="E992" s="218" t="s">
        <v>3285</v>
      </c>
      <c r="F992" s="219"/>
      <c r="G992" s="216"/>
      <c r="H992" s="220"/>
      <c r="I992" s="221"/>
      <c r="J992" s="244"/>
      <c r="K992" s="221"/>
      <c r="L992" s="221"/>
      <c r="M992" s="207"/>
      <c r="N992" s="209"/>
      <c r="O992" s="138"/>
      <c r="S992" s="72"/>
      <c r="T992" s="72"/>
      <c r="U992" s="109"/>
      <c r="V992" s="72"/>
    </row>
    <row r="993" spans="1:22" s="63" customFormat="1" ht="15" x14ac:dyDescent="0.25">
      <c r="A993" s="80">
        <v>8.1</v>
      </c>
      <c r="B993" s="81" t="s">
        <v>50</v>
      </c>
      <c r="C993" s="82">
        <v>1</v>
      </c>
      <c r="D993" s="131" t="s">
        <v>967</v>
      </c>
      <c r="E993" s="83" t="s">
        <v>968</v>
      </c>
      <c r="F993" s="81" t="s">
        <v>219</v>
      </c>
      <c r="G993" s="82">
        <v>1</v>
      </c>
      <c r="H993" s="85"/>
      <c r="I993" s="86">
        <f>5830.09+0.01</f>
        <v>5830.1</v>
      </c>
      <c r="J993" s="185">
        <f>ROUND($I993/$G993*$N$11,2)</f>
        <v>6638.15</v>
      </c>
      <c r="K993" s="189">
        <f t="shared" ref="K993:K1013" si="117">ROUND(G993*J993,2)</f>
        <v>6638.15</v>
      </c>
      <c r="L993" s="189"/>
      <c r="M993" s="138"/>
      <c r="N993" s="138"/>
      <c r="O993" s="138"/>
      <c r="S993" s="72"/>
      <c r="T993" s="72"/>
      <c r="U993" s="72"/>
      <c r="V993" s="72"/>
    </row>
    <row r="994" spans="1:22" s="63" customFormat="1" ht="22.5" x14ac:dyDescent="0.25">
      <c r="A994" s="103">
        <v>8.1999999999999993</v>
      </c>
      <c r="B994" s="102" t="s">
        <v>50</v>
      </c>
      <c r="C994" s="103">
        <v>1.1000000000000001</v>
      </c>
      <c r="D994" s="167" t="s">
        <v>969</v>
      </c>
      <c r="E994" s="104" t="s">
        <v>3522</v>
      </c>
      <c r="F994" s="102" t="s">
        <v>219</v>
      </c>
      <c r="G994" s="105">
        <v>1</v>
      </c>
      <c r="H994" s="106"/>
      <c r="I994" s="107">
        <f>12758.22+0.04</f>
        <v>12758.26</v>
      </c>
      <c r="J994" s="192">
        <f>ROUND($I994/$G994*$N$12,2)</f>
        <v>14270.11</v>
      </c>
      <c r="K994" s="193">
        <f t="shared" si="117"/>
        <v>14270.11</v>
      </c>
      <c r="L994" s="193"/>
      <c r="M994" s="138"/>
      <c r="N994" s="138"/>
      <c r="O994" s="138"/>
      <c r="S994" s="72"/>
      <c r="T994" s="72"/>
      <c r="U994" s="72"/>
      <c r="V994" s="72"/>
    </row>
    <row r="995" spans="1:22" s="63" customFormat="1" ht="15" x14ac:dyDescent="0.25">
      <c r="A995" s="80">
        <v>8.3000000000000007</v>
      </c>
      <c r="B995" s="81" t="s">
        <v>50</v>
      </c>
      <c r="C995" s="82">
        <v>2</v>
      </c>
      <c r="D995" s="131" t="s">
        <v>970</v>
      </c>
      <c r="E995" s="83" t="s">
        <v>971</v>
      </c>
      <c r="F995" s="81" t="s">
        <v>219</v>
      </c>
      <c r="G995" s="82">
        <v>1</v>
      </c>
      <c r="H995" s="85"/>
      <c r="I995" s="86">
        <v>2505.58</v>
      </c>
      <c r="J995" s="185">
        <f>ROUND($I995/$G995*$N$11,2)</f>
        <v>2852.85</v>
      </c>
      <c r="K995" s="189">
        <f t="shared" si="117"/>
        <v>2852.85</v>
      </c>
      <c r="L995" s="189"/>
      <c r="M995" s="138"/>
      <c r="N995" s="138"/>
      <c r="O995" s="138"/>
      <c r="S995" s="72"/>
      <c r="T995" s="72"/>
      <c r="U995" s="72"/>
      <c r="V995" s="72"/>
    </row>
    <row r="996" spans="1:22" s="63" customFormat="1" ht="22.5" x14ac:dyDescent="0.25">
      <c r="A996" s="103">
        <v>8.4</v>
      </c>
      <c r="B996" s="102" t="s">
        <v>50</v>
      </c>
      <c r="C996" s="103">
        <v>2.1</v>
      </c>
      <c r="D996" s="167" t="s">
        <v>972</v>
      </c>
      <c r="E996" s="104" t="s">
        <v>3523</v>
      </c>
      <c r="F996" s="102" t="s">
        <v>219</v>
      </c>
      <c r="G996" s="105">
        <v>1</v>
      </c>
      <c r="H996" s="106"/>
      <c r="I996" s="107">
        <v>7306.87</v>
      </c>
      <c r="J996" s="192">
        <f>ROUND($I996/$G996*$N$12,2)</f>
        <v>8172.73</v>
      </c>
      <c r="K996" s="193">
        <f t="shared" si="117"/>
        <v>8172.73</v>
      </c>
      <c r="L996" s="193"/>
      <c r="M996" s="138"/>
      <c r="N996" s="138"/>
      <c r="O996" s="138"/>
      <c r="S996" s="72"/>
      <c r="T996" s="72"/>
      <c r="U996" s="72"/>
      <c r="V996" s="72"/>
    </row>
    <row r="997" spans="1:22" s="63" customFormat="1" ht="15" x14ac:dyDescent="0.25">
      <c r="A997" s="80">
        <v>8.5</v>
      </c>
      <c r="B997" s="81" t="s">
        <v>50</v>
      </c>
      <c r="C997" s="82">
        <v>3</v>
      </c>
      <c r="D997" s="131" t="s">
        <v>973</v>
      </c>
      <c r="E997" s="83" t="s">
        <v>974</v>
      </c>
      <c r="F997" s="81" t="s">
        <v>219</v>
      </c>
      <c r="G997" s="82">
        <v>2</v>
      </c>
      <c r="H997" s="85"/>
      <c r="I997" s="86">
        <v>24330.68</v>
      </c>
      <c r="J997" s="185">
        <f>ROUND($I997/$G997*$N$11,2)</f>
        <v>13851.46</v>
      </c>
      <c r="K997" s="189">
        <f t="shared" si="117"/>
        <v>27702.92</v>
      </c>
      <c r="L997" s="189"/>
      <c r="M997" s="138"/>
      <c r="N997" s="138"/>
      <c r="O997" s="138"/>
      <c r="S997" s="72"/>
      <c r="T997" s="72"/>
      <c r="U997" s="72"/>
      <c r="V997" s="72"/>
    </row>
    <row r="998" spans="1:22" s="63" customFormat="1" ht="15" x14ac:dyDescent="0.25">
      <c r="A998" s="103">
        <v>8.6</v>
      </c>
      <c r="B998" s="102" t="s">
        <v>50</v>
      </c>
      <c r="C998" s="103">
        <v>3.1</v>
      </c>
      <c r="D998" s="167" t="s">
        <v>975</v>
      </c>
      <c r="E998" s="104" t="s">
        <v>3524</v>
      </c>
      <c r="F998" s="102" t="s">
        <v>219</v>
      </c>
      <c r="G998" s="105">
        <v>1</v>
      </c>
      <c r="H998" s="106"/>
      <c r="I998" s="107">
        <v>3764.33</v>
      </c>
      <c r="J998" s="192">
        <f>ROUND($I998/$G998*$N$12,2)</f>
        <v>4210.3999999999996</v>
      </c>
      <c r="K998" s="193">
        <f t="shared" si="117"/>
        <v>4210.3999999999996</v>
      </c>
      <c r="L998" s="193"/>
      <c r="M998" s="138"/>
      <c r="N998" s="138"/>
      <c r="O998" s="138"/>
      <c r="S998" s="72"/>
      <c r="T998" s="72"/>
      <c r="U998" s="72"/>
      <c r="V998" s="72"/>
    </row>
    <row r="999" spans="1:22" s="63" customFormat="1" ht="22.5" x14ac:dyDescent="0.25">
      <c r="A999" s="103">
        <v>8.6999999999999993</v>
      </c>
      <c r="B999" s="102" t="s">
        <v>50</v>
      </c>
      <c r="C999" s="103">
        <v>3.2</v>
      </c>
      <c r="D999" s="167" t="s">
        <v>976</v>
      </c>
      <c r="E999" s="104" t="s">
        <v>3525</v>
      </c>
      <c r="F999" s="102" t="s">
        <v>219</v>
      </c>
      <c r="G999" s="105">
        <v>1</v>
      </c>
      <c r="H999" s="106"/>
      <c r="I999" s="107">
        <v>2965.38</v>
      </c>
      <c r="J999" s="192">
        <f>ROUND($I999/$G999*$N$12,2)</f>
        <v>3316.78</v>
      </c>
      <c r="K999" s="193">
        <f t="shared" si="117"/>
        <v>3316.78</v>
      </c>
      <c r="L999" s="193"/>
      <c r="M999" s="138"/>
      <c r="N999" s="138"/>
      <c r="O999" s="138"/>
      <c r="S999" s="72"/>
      <c r="T999" s="72"/>
      <c r="U999" s="72"/>
      <c r="V999" s="72"/>
    </row>
    <row r="1000" spans="1:22" s="63" customFormat="1" ht="15" x14ac:dyDescent="0.25">
      <c r="A1000" s="80">
        <v>8.8000000000000007</v>
      </c>
      <c r="B1000" s="81" t="s">
        <v>50</v>
      </c>
      <c r="C1000" s="82">
        <v>4</v>
      </c>
      <c r="D1000" s="131" t="s">
        <v>977</v>
      </c>
      <c r="E1000" s="83" t="s">
        <v>978</v>
      </c>
      <c r="F1000" s="81" t="s">
        <v>219</v>
      </c>
      <c r="G1000" s="82">
        <v>4</v>
      </c>
      <c r="H1000" s="85"/>
      <c r="I1000" s="86">
        <v>3756.2</v>
      </c>
      <c r="J1000" s="185">
        <f>ROUND($I1000/$G1000*$N$11,2)</f>
        <v>1069.2</v>
      </c>
      <c r="K1000" s="189">
        <f t="shared" si="117"/>
        <v>4276.8</v>
      </c>
      <c r="L1000" s="189"/>
      <c r="M1000" s="138"/>
      <c r="N1000" s="138"/>
      <c r="O1000" s="138"/>
      <c r="S1000" s="72"/>
      <c r="T1000" s="72"/>
      <c r="U1000" s="72"/>
      <c r="V1000" s="72"/>
    </row>
    <row r="1001" spans="1:22" s="63" customFormat="1" ht="22.5" x14ac:dyDescent="0.25">
      <c r="A1001" s="103">
        <v>8.9</v>
      </c>
      <c r="B1001" s="102" t="s">
        <v>50</v>
      </c>
      <c r="C1001" s="103">
        <v>4.0999999999999996</v>
      </c>
      <c r="D1001" s="167" t="s">
        <v>979</v>
      </c>
      <c r="E1001" s="104" t="s">
        <v>3526</v>
      </c>
      <c r="F1001" s="102" t="s">
        <v>219</v>
      </c>
      <c r="G1001" s="105">
        <v>2</v>
      </c>
      <c r="H1001" s="106"/>
      <c r="I1001" s="107">
        <v>6060.81</v>
      </c>
      <c r="J1001" s="192">
        <f>ROUND($I1001/$G1001*$N$12,2)</f>
        <v>3389.51</v>
      </c>
      <c r="K1001" s="193">
        <f t="shared" si="117"/>
        <v>6779.02</v>
      </c>
      <c r="L1001" s="193"/>
      <c r="M1001" s="138"/>
      <c r="N1001" s="138"/>
      <c r="O1001" s="138"/>
      <c r="S1001" s="72"/>
      <c r="T1001" s="72"/>
      <c r="U1001" s="72"/>
      <c r="V1001" s="72"/>
    </row>
    <row r="1002" spans="1:22" s="63" customFormat="1" ht="22.5" x14ac:dyDescent="0.25">
      <c r="A1002" s="101">
        <v>8.1</v>
      </c>
      <c r="B1002" s="102" t="s">
        <v>50</v>
      </c>
      <c r="C1002" s="103">
        <v>4.2</v>
      </c>
      <c r="D1002" s="167" t="s">
        <v>980</v>
      </c>
      <c r="E1002" s="104" t="s">
        <v>3527</v>
      </c>
      <c r="F1002" s="102" t="s">
        <v>219</v>
      </c>
      <c r="G1002" s="105">
        <v>2</v>
      </c>
      <c r="H1002" s="106"/>
      <c r="I1002" s="107">
        <v>4525.08</v>
      </c>
      <c r="J1002" s="192">
        <f>ROUND($I1002/$G1002*$N$12,2)</f>
        <v>2530.65</v>
      </c>
      <c r="K1002" s="193">
        <f t="shared" si="117"/>
        <v>5061.3</v>
      </c>
      <c r="L1002" s="193"/>
      <c r="M1002" s="138"/>
      <c r="N1002" s="138"/>
      <c r="O1002" s="138"/>
      <c r="S1002" s="72"/>
      <c r="T1002" s="72"/>
      <c r="U1002" s="72"/>
      <c r="V1002" s="72"/>
    </row>
    <row r="1003" spans="1:22" s="63" customFormat="1" ht="22.5" x14ac:dyDescent="0.25">
      <c r="A1003" s="87">
        <v>8.11</v>
      </c>
      <c r="B1003" s="81" t="s">
        <v>50</v>
      </c>
      <c r="C1003" s="82">
        <v>5</v>
      </c>
      <c r="D1003" s="131" t="s">
        <v>981</v>
      </c>
      <c r="E1003" s="83" t="s">
        <v>982</v>
      </c>
      <c r="F1003" s="81" t="s">
        <v>219</v>
      </c>
      <c r="G1003" s="82">
        <v>37</v>
      </c>
      <c r="H1003" s="85"/>
      <c r="I1003" s="86">
        <v>29998.9</v>
      </c>
      <c r="J1003" s="185">
        <f>ROUND($I1003/$G1003*$N$11,2)</f>
        <v>923.16</v>
      </c>
      <c r="K1003" s="189">
        <f t="shared" si="117"/>
        <v>34156.92</v>
      </c>
      <c r="L1003" s="189"/>
      <c r="M1003" s="138"/>
      <c r="N1003" s="138"/>
      <c r="O1003" s="138"/>
      <c r="S1003" s="72"/>
      <c r="T1003" s="72"/>
      <c r="U1003" s="72"/>
      <c r="V1003" s="72"/>
    </row>
    <row r="1004" spans="1:22" s="63" customFormat="1" ht="22.5" x14ac:dyDescent="0.25">
      <c r="A1004" s="101">
        <v>8.1199999999999992</v>
      </c>
      <c r="B1004" s="102" t="s">
        <v>50</v>
      </c>
      <c r="C1004" s="103">
        <v>5.0999999999999996</v>
      </c>
      <c r="D1004" s="167" t="s">
        <v>983</v>
      </c>
      <c r="E1004" s="104" t="s">
        <v>3528</v>
      </c>
      <c r="F1004" s="102" t="s">
        <v>219</v>
      </c>
      <c r="G1004" s="105">
        <v>36</v>
      </c>
      <c r="H1004" s="106"/>
      <c r="I1004" s="107">
        <v>11035.34</v>
      </c>
      <c r="J1004" s="192">
        <f>ROUND($I1004/$G1004*$N$12,2)</f>
        <v>342.86</v>
      </c>
      <c r="K1004" s="193">
        <f t="shared" si="117"/>
        <v>12342.96</v>
      </c>
      <c r="L1004" s="193"/>
      <c r="M1004" s="138"/>
      <c r="N1004" s="138"/>
      <c r="O1004" s="138"/>
      <c r="S1004" s="72"/>
      <c r="T1004" s="72"/>
      <c r="U1004" s="72"/>
      <c r="V1004" s="72"/>
    </row>
    <row r="1005" spans="1:22" s="63" customFormat="1" ht="22.5" x14ac:dyDescent="0.25">
      <c r="A1005" s="101">
        <v>8.1300000000000008</v>
      </c>
      <c r="B1005" s="102" t="s">
        <v>50</v>
      </c>
      <c r="C1005" s="103">
        <v>5.2</v>
      </c>
      <c r="D1005" s="167" t="s">
        <v>984</v>
      </c>
      <c r="E1005" s="104" t="s">
        <v>985</v>
      </c>
      <c r="F1005" s="102" t="s">
        <v>566</v>
      </c>
      <c r="G1005" s="103">
        <v>0.1</v>
      </c>
      <c r="H1005" s="106"/>
      <c r="I1005" s="107">
        <v>227.7</v>
      </c>
      <c r="J1005" s="192">
        <f>ROUND($I1005/$G1005*$N$12,2)</f>
        <v>2546.8200000000002</v>
      </c>
      <c r="K1005" s="193">
        <f t="shared" si="117"/>
        <v>254.68</v>
      </c>
      <c r="L1005" s="193"/>
      <c r="M1005" s="138"/>
      <c r="N1005" s="138"/>
      <c r="O1005" s="138"/>
      <c r="S1005" s="72"/>
      <c r="T1005" s="72"/>
      <c r="U1005" s="72"/>
      <c r="V1005" s="72"/>
    </row>
    <row r="1006" spans="1:22" s="63" customFormat="1" ht="22.5" x14ac:dyDescent="0.25">
      <c r="A1006" s="87">
        <v>8.14</v>
      </c>
      <c r="B1006" s="81" t="s">
        <v>50</v>
      </c>
      <c r="C1006" s="82">
        <v>6</v>
      </c>
      <c r="D1006" s="131" t="s">
        <v>986</v>
      </c>
      <c r="E1006" s="83" t="s">
        <v>987</v>
      </c>
      <c r="F1006" s="81" t="s">
        <v>219</v>
      </c>
      <c r="G1006" s="82">
        <v>30</v>
      </c>
      <c r="H1006" s="85"/>
      <c r="I1006" s="86">
        <v>164310.25</v>
      </c>
      <c r="J1006" s="185">
        <f>ROUND($I1006/$G1006*$N$11,2)</f>
        <v>6236.12</v>
      </c>
      <c r="K1006" s="189">
        <f t="shared" si="117"/>
        <v>187083.6</v>
      </c>
      <c r="L1006" s="189"/>
      <c r="M1006" s="138"/>
      <c r="N1006" s="138"/>
      <c r="O1006" s="138"/>
      <c r="S1006" s="72"/>
      <c r="T1006" s="72"/>
      <c r="U1006" s="72"/>
      <c r="V1006" s="72"/>
    </row>
    <row r="1007" spans="1:22" s="63" customFormat="1" ht="22.5" x14ac:dyDescent="0.25">
      <c r="A1007" s="101">
        <v>8.15</v>
      </c>
      <c r="B1007" s="102" t="s">
        <v>50</v>
      </c>
      <c r="C1007" s="103">
        <v>6.1</v>
      </c>
      <c r="D1007" s="167" t="s">
        <v>988</v>
      </c>
      <c r="E1007" s="104" t="s">
        <v>3529</v>
      </c>
      <c r="F1007" s="102" t="s">
        <v>219</v>
      </c>
      <c r="G1007" s="105">
        <v>30</v>
      </c>
      <c r="H1007" s="106"/>
      <c r="I1007" s="107">
        <v>28925.18</v>
      </c>
      <c r="J1007" s="192">
        <f>ROUND($I1007/$G1007*$N$12,2)</f>
        <v>1078.43</v>
      </c>
      <c r="K1007" s="193">
        <f t="shared" si="117"/>
        <v>32352.9</v>
      </c>
      <c r="L1007" s="193"/>
      <c r="M1007" s="138"/>
      <c r="N1007" s="138"/>
      <c r="O1007" s="138"/>
      <c r="S1007" s="72"/>
      <c r="T1007" s="72"/>
      <c r="U1007" s="72"/>
      <c r="V1007" s="72"/>
    </row>
    <row r="1008" spans="1:22" s="63" customFormat="1" ht="15" x14ac:dyDescent="0.25">
      <c r="A1008" s="87">
        <v>8.16</v>
      </c>
      <c r="B1008" s="81" t="s">
        <v>50</v>
      </c>
      <c r="C1008" s="82">
        <v>7</v>
      </c>
      <c r="D1008" s="131" t="s">
        <v>989</v>
      </c>
      <c r="E1008" s="83" t="s">
        <v>990</v>
      </c>
      <c r="F1008" s="81" t="s">
        <v>216</v>
      </c>
      <c r="G1008" s="87">
        <v>0.01</v>
      </c>
      <c r="H1008" s="85"/>
      <c r="I1008" s="86">
        <v>852.47</v>
      </c>
      <c r="J1008" s="185">
        <f>ROUND($I1008/$G1008*$N$11,2)</f>
        <v>97062.23</v>
      </c>
      <c r="K1008" s="189">
        <f t="shared" si="117"/>
        <v>970.62</v>
      </c>
      <c r="L1008" s="189"/>
      <c r="M1008" s="138"/>
      <c r="N1008" s="138"/>
      <c r="O1008" s="138"/>
      <c r="S1008" s="72"/>
      <c r="T1008" s="72"/>
      <c r="U1008" s="72"/>
      <c r="V1008" s="72"/>
    </row>
    <row r="1009" spans="1:22" s="63" customFormat="1" ht="22.5" x14ac:dyDescent="0.25">
      <c r="A1009" s="101">
        <v>8.17</v>
      </c>
      <c r="B1009" s="102" t="s">
        <v>50</v>
      </c>
      <c r="C1009" s="103">
        <v>7.1</v>
      </c>
      <c r="D1009" s="167" t="s">
        <v>991</v>
      </c>
      <c r="E1009" s="104" t="s">
        <v>3530</v>
      </c>
      <c r="F1009" s="102" t="s">
        <v>219</v>
      </c>
      <c r="G1009" s="105">
        <v>1</v>
      </c>
      <c r="H1009" s="106"/>
      <c r="I1009" s="107">
        <v>2264.2199999999998</v>
      </c>
      <c r="J1009" s="192">
        <f>ROUND($I1009/$G1009*$N$12,2)</f>
        <v>2532.5300000000002</v>
      </c>
      <c r="K1009" s="193">
        <f t="shared" si="117"/>
        <v>2532.5300000000002</v>
      </c>
      <c r="L1009" s="193"/>
      <c r="M1009" s="138"/>
      <c r="N1009" s="138"/>
      <c r="O1009" s="138"/>
      <c r="S1009" s="72"/>
      <c r="T1009" s="72"/>
      <c r="U1009" s="72"/>
      <c r="V1009" s="72"/>
    </row>
    <row r="1010" spans="1:22" s="63" customFormat="1" ht="15" x14ac:dyDescent="0.25">
      <c r="A1010" s="87">
        <v>8.18</v>
      </c>
      <c r="B1010" s="81" t="s">
        <v>50</v>
      </c>
      <c r="C1010" s="82">
        <v>8</v>
      </c>
      <c r="D1010" s="131" t="s">
        <v>992</v>
      </c>
      <c r="E1010" s="83" t="s">
        <v>993</v>
      </c>
      <c r="F1010" s="81" t="s">
        <v>219</v>
      </c>
      <c r="G1010" s="82">
        <v>1</v>
      </c>
      <c r="H1010" s="85"/>
      <c r="I1010" s="86">
        <v>758.39</v>
      </c>
      <c r="J1010" s="185">
        <f>ROUND($I1010/$G1010*$N$11,2)</f>
        <v>863.5</v>
      </c>
      <c r="K1010" s="189">
        <f t="shared" si="117"/>
        <v>863.5</v>
      </c>
      <c r="L1010" s="189"/>
      <c r="M1010" s="138"/>
      <c r="N1010" s="138"/>
      <c r="O1010" s="138"/>
      <c r="S1010" s="72"/>
      <c r="T1010" s="72"/>
      <c r="U1010" s="72"/>
      <c r="V1010" s="72"/>
    </row>
    <row r="1011" spans="1:22" s="63" customFormat="1" ht="22.5" x14ac:dyDescent="0.25">
      <c r="A1011" s="101">
        <v>8.19</v>
      </c>
      <c r="B1011" s="102" t="s">
        <v>50</v>
      </c>
      <c r="C1011" s="103">
        <v>8.1</v>
      </c>
      <c r="D1011" s="167" t="s">
        <v>994</v>
      </c>
      <c r="E1011" s="104" t="s">
        <v>3531</v>
      </c>
      <c r="F1011" s="102" t="s">
        <v>219</v>
      </c>
      <c r="G1011" s="105">
        <v>1</v>
      </c>
      <c r="H1011" s="106"/>
      <c r="I1011" s="107">
        <v>11953.85</v>
      </c>
      <c r="J1011" s="192">
        <f>ROUND($I1011/$G1011*$N$12,2)</f>
        <v>13370.38</v>
      </c>
      <c r="K1011" s="193">
        <f t="shared" si="117"/>
        <v>13370.38</v>
      </c>
      <c r="L1011" s="193"/>
      <c r="M1011" s="138"/>
      <c r="N1011" s="138"/>
      <c r="O1011" s="138"/>
      <c r="S1011" s="72"/>
      <c r="T1011" s="72"/>
      <c r="U1011" s="72"/>
      <c r="V1011" s="72"/>
    </row>
    <row r="1012" spans="1:22" s="63" customFormat="1" ht="15" x14ac:dyDescent="0.25">
      <c r="A1012" s="87">
        <v>8.1999999999999993</v>
      </c>
      <c r="B1012" s="81" t="s">
        <v>50</v>
      </c>
      <c r="C1012" s="82">
        <v>9</v>
      </c>
      <c r="D1012" s="131" t="s">
        <v>995</v>
      </c>
      <c r="E1012" s="83" t="s">
        <v>996</v>
      </c>
      <c r="F1012" s="81" t="s">
        <v>354</v>
      </c>
      <c r="G1012" s="82">
        <v>9</v>
      </c>
      <c r="H1012" s="85"/>
      <c r="I1012" s="86">
        <v>145829.22</v>
      </c>
      <c r="J1012" s="185">
        <f>ROUND($I1012/$G1012*$N$11,2)</f>
        <v>18449.02</v>
      </c>
      <c r="K1012" s="189">
        <f t="shared" si="117"/>
        <v>166041.18</v>
      </c>
      <c r="L1012" s="189"/>
      <c r="M1012" s="138"/>
      <c r="N1012" s="138"/>
      <c r="O1012" s="138"/>
      <c r="S1012" s="72"/>
      <c r="T1012" s="72"/>
      <c r="U1012" s="72"/>
      <c r="V1012" s="72"/>
    </row>
    <row r="1013" spans="1:22" s="63" customFormat="1" ht="22.5" x14ac:dyDescent="0.25">
      <c r="A1013" s="87">
        <v>8.2100000000000009</v>
      </c>
      <c r="B1013" s="81" t="s">
        <v>50</v>
      </c>
      <c r="C1013" s="80">
        <v>9.1</v>
      </c>
      <c r="D1013" s="131" t="s">
        <v>997</v>
      </c>
      <c r="E1013" s="83" t="s">
        <v>998</v>
      </c>
      <c r="F1013" s="81" t="s">
        <v>354</v>
      </c>
      <c r="G1013" s="82">
        <v>9</v>
      </c>
      <c r="H1013" s="85"/>
      <c r="I1013" s="86">
        <v>9170.82</v>
      </c>
      <c r="J1013" s="185">
        <f>ROUND($I1013/$G1013*$N$11,2)</f>
        <v>1160.21</v>
      </c>
      <c r="K1013" s="189">
        <f t="shared" si="117"/>
        <v>10441.89</v>
      </c>
      <c r="L1013" s="189"/>
      <c r="M1013" s="138"/>
      <c r="N1013" s="138"/>
      <c r="O1013" s="138"/>
      <c r="S1013" s="72"/>
      <c r="T1013" s="72"/>
      <c r="U1013" s="72"/>
      <c r="V1013" s="72"/>
    </row>
    <row r="1014" spans="1:22" s="128" customFormat="1" ht="12.75" x14ac:dyDescent="0.25">
      <c r="A1014" s="237"/>
      <c r="B1014" s="125"/>
      <c r="C1014" s="236"/>
      <c r="D1014" s="77"/>
      <c r="E1014" s="126" t="s">
        <v>3286</v>
      </c>
      <c r="F1014" s="125"/>
      <c r="G1014" s="76"/>
      <c r="H1014" s="127"/>
      <c r="I1014" s="78"/>
      <c r="J1014" s="238"/>
      <c r="K1014" s="239"/>
      <c r="L1014" s="239"/>
      <c r="M1014" s="79"/>
      <c r="N1014" s="79"/>
      <c r="O1014" s="79"/>
      <c r="S1014" s="129"/>
      <c r="T1014" s="129"/>
      <c r="U1014" s="129"/>
      <c r="V1014" s="129"/>
    </row>
    <row r="1015" spans="1:22" s="63" customFormat="1" ht="15" x14ac:dyDescent="0.25">
      <c r="A1015" s="87">
        <v>8.2200000000000006</v>
      </c>
      <c r="B1015" s="81" t="s">
        <v>50</v>
      </c>
      <c r="C1015" s="82">
        <v>10</v>
      </c>
      <c r="D1015" s="131" t="s">
        <v>970</v>
      </c>
      <c r="E1015" s="83" t="s">
        <v>971</v>
      </c>
      <c r="F1015" s="81" t="s">
        <v>219</v>
      </c>
      <c r="G1015" s="82">
        <v>8</v>
      </c>
      <c r="H1015" s="85"/>
      <c r="I1015" s="86">
        <v>20044.7</v>
      </c>
      <c r="J1015" s="185">
        <f>ROUND($I1015/$G1015*$N$11,2)</f>
        <v>2852.86</v>
      </c>
      <c r="K1015" s="189">
        <f t="shared" ref="K1015:K1039" si="118">ROUND(G1015*J1015,2)</f>
        <v>22822.880000000001</v>
      </c>
      <c r="L1015" s="189"/>
      <c r="M1015" s="138"/>
      <c r="N1015" s="138"/>
      <c r="O1015" s="138"/>
      <c r="S1015" s="72"/>
      <c r="T1015" s="72"/>
      <c r="U1015" s="72"/>
      <c r="V1015" s="72"/>
    </row>
    <row r="1016" spans="1:22" s="63" customFormat="1" ht="15" x14ac:dyDescent="0.25">
      <c r="A1016" s="101">
        <v>8.23</v>
      </c>
      <c r="B1016" s="102" t="s">
        <v>50</v>
      </c>
      <c r="C1016" s="103">
        <v>10.1</v>
      </c>
      <c r="D1016" s="167" t="s">
        <v>999</v>
      </c>
      <c r="E1016" s="104" t="s">
        <v>3532</v>
      </c>
      <c r="F1016" s="102" t="s">
        <v>219</v>
      </c>
      <c r="G1016" s="105">
        <v>8</v>
      </c>
      <c r="H1016" s="106"/>
      <c r="I1016" s="107">
        <v>27453.42</v>
      </c>
      <c r="J1016" s="192">
        <f>ROUND($I1016/$G1016*$N$12,2)</f>
        <v>3838.33</v>
      </c>
      <c r="K1016" s="193">
        <f t="shared" si="118"/>
        <v>30706.639999999999</v>
      </c>
      <c r="L1016" s="193"/>
      <c r="M1016" s="138"/>
      <c r="N1016" s="138"/>
      <c r="O1016" s="138"/>
      <c r="S1016" s="72"/>
      <c r="T1016" s="72"/>
      <c r="U1016" s="72"/>
      <c r="V1016" s="72"/>
    </row>
    <row r="1017" spans="1:22" s="63" customFormat="1" ht="15" x14ac:dyDescent="0.25">
      <c r="A1017" s="87">
        <v>8.24</v>
      </c>
      <c r="B1017" s="81" t="s">
        <v>50</v>
      </c>
      <c r="C1017" s="82">
        <v>11</v>
      </c>
      <c r="D1017" s="131" t="s">
        <v>1000</v>
      </c>
      <c r="E1017" s="83" t="s">
        <v>1001</v>
      </c>
      <c r="F1017" s="81" t="s">
        <v>219</v>
      </c>
      <c r="G1017" s="82">
        <v>1</v>
      </c>
      <c r="H1017" s="85"/>
      <c r="I1017" s="86">
        <v>5911.84</v>
      </c>
      <c r="J1017" s="185">
        <f>ROUND($I1017/$G1017*$N$11,2)</f>
        <v>6731.22</v>
      </c>
      <c r="K1017" s="189">
        <f t="shared" si="118"/>
        <v>6731.22</v>
      </c>
      <c r="L1017" s="189"/>
      <c r="M1017" s="138"/>
      <c r="N1017" s="138"/>
      <c r="O1017" s="138"/>
      <c r="S1017" s="72"/>
      <c r="T1017" s="72"/>
      <c r="U1017" s="72"/>
      <c r="V1017" s="72"/>
    </row>
    <row r="1018" spans="1:22" s="63" customFormat="1" ht="15" x14ac:dyDescent="0.25">
      <c r="A1018" s="101">
        <v>8.25</v>
      </c>
      <c r="B1018" s="102" t="s">
        <v>50</v>
      </c>
      <c r="C1018" s="103">
        <v>11.1</v>
      </c>
      <c r="D1018" s="167" t="s">
        <v>975</v>
      </c>
      <c r="E1018" s="104" t="s">
        <v>3533</v>
      </c>
      <c r="F1018" s="102" t="s">
        <v>219</v>
      </c>
      <c r="G1018" s="105">
        <v>1</v>
      </c>
      <c r="H1018" s="106"/>
      <c r="I1018" s="107">
        <v>3764.33</v>
      </c>
      <c r="J1018" s="192">
        <f>ROUND($I1018/$G1018*$N$12,2)</f>
        <v>4210.3999999999996</v>
      </c>
      <c r="K1018" s="193">
        <f t="shared" si="118"/>
        <v>4210.3999999999996</v>
      </c>
      <c r="L1018" s="193"/>
      <c r="M1018" s="138"/>
      <c r="N1018" s="138"/>
      <c r="O1018" s="138"/>
      <c r="S1018" s="72"/>
      <c r="T1018" s="72"/>
      <c r="U1018" s="72"/>
      <c r="V1018" s="72"/>
    </row>
    <row r="1019" spans="1:22" s="63" customFormat="1" ht="15" x14ac:dyDescent="0.25">
      <c r="A1019" s="87">
        <v>8.26</v>
      </c>
      <c r="B1019" s="81" t="s">
        <v>50</v>
      </c>
      <c r="C1019" s="82">
        <v>12</v>
      </c>
      <c r="D1019" s="131" t="s">
        <v>977</v>
      </c>
      <c r="E1019" s="83" t="s">
        <v>978</v>
      </c>
      <c r="F1019" s="81" t="s">
        <v>219</v>
      </c>
      <c r="G1019" s="82">
        <v>2</v>
      </c>
      <c r="H1019" s="85"/>
      <c r="I1019" s="86">
        <v>1878.09</v>
      </c>
      <c r="J1019" s="185">
        <f>ROUND($I1019/$G1019*$N$11,2)</f>
        <v>1069.2</v>
      </c>
      <c r="K1019" s="189">
        <f t="shared" si="118"/>
        <v>2138.4</v>
      </c>
      <c r="L1019" s="189"/>
      <c r="M1019" s="138"/>
      <c r="N1019" s="138"/>
      <c r="O1019" s="138"/>
      <c r="S1019" s="72"/>
      <c r="T1019" s="72"/>
      <c r="U1019" s="72"/>
      <c r="V1019" s="72"/>
    </row>
    <row r="1020" spans="1:22" s="63" customFormat="1" ht="22.5" x14ac:dyDescent="0.25">
      <c r="A1020" s="101">
        <v>8.27</v>
      </c>
      <c r="B1020" s="102" t="s">
        <v>50</v>
      </c>
      <c r="C1020" s="103">
        <v>12.1</v>
      </c>
      <c r="D1020" s="167" t="s">
        <v>979</v>
      </c>
      <c r="E1020" s="104" t="s">
        <v>3526</v>
      </c>
      <c r="F1020" s="102" t="s">
        <v>219</v>
      </c>
      <c r="G1020" s="105">
        <v>2</v>
      </c>
      <c r="H1020" s="106"/>
      <c r="I1020" s="107">
        <v>6060.81</v>
      </c>
      <c r="J1020" s="192">
        <f>ROUND($I1020/$G1020*$N$12,2)</f>
        <v>3389.51</v>
      </c>
      <c r="K1020" s="193">
        <f t="shared" si="118"/>
        <v>6779.02</v>
      </c>
      <c r="L1020" s="193"/>
      <c r="M1020" s="138"/>
      <c r="N1020" s="138"/>
      <c r="O1020" s="138"/>
      <c r="S1020" s="72"/>
      <c r="T1020" s="72"/>
      <c r="U1020" s="72"/>
      <c r="V1020" s="72"/>
    </row>
    <row r="1021" spans="1:22" s="63" customFormat="1" ht="22.5" x14ac:dyDescent="0.25">
      <c r="A1021" s="87">
        <v>8.2799999999999994</v>
      </c>
      <c r="B1021" s="81" t="s">
        <v>50</v>
      </c>
      <c r="C1021" s="82">
        <v>13</v>
      </c>
      <c r="D1021" s="131" t="s">
        <v>1002</v>
      </c>
      <c r="E1021" s="83" t="s">
        <v>1003</v>
      </c>
      <c r="F1021" s="81" t="s">
        <v>219</v>
      </c>
      <c r="G1021" s="82">
        <v>4</v>
      </c>
      <c r="H1021" s="85"/>
      <c r="I1021" s="86">
        <v>3213.63</v>
      </c>
      <c r="J1021" s="185">
        <f>ROUND($I1021/$G1021*$N$11,2)</f>
        <v>914.76</v>
      </c>
      <c r="K1021" s="189">
        <f t="shared" si="118"/>
        <v>3659.04</v>
      </c>
      <c r="L1021" s="189"/>
      <c r="M1021" s="138"/>
      <c r="N1021" s="138"/>
      <c r="O1021" s="138"/>
      <c r="S1021" s="72"/>
      <c r="T1021" s="72"/>
      <c r="U1021" s="72"/>
      <c r="V1021" s="72"/>
    </row>
    <row r="1022" spans="1:22" s="63" customFormat="1" ht="22.5" x14ac:dyDescent="0.25">
      <c r="A1022" s="101">
        <v>8.2899999999999991</v>
      </c>
      <c r="B1022" s="102" t="s">
        <v>50</v>
      </c>
      <c r="C1022" s="103">
        <v>13.1</v>
      </c>
      <c r="D1022" s="167" t="s">
        <v>1004</v>
      </c>
      <c r="E1022" s="104" t="s">
        <v>1005</v>
      </c>
      <c r="F1022" s="102" t="s">
        <v>216</v>
      </c>
      <c r="G1022" s="105">
        <v>4</v>
      </c>
      <c r="H1022" s="106"/>
      <c r="I1022" s="107">
        <v>83157.64</v>
      </c>
      <c r="J1022" s="192">
        <f>ROUND($I1022/$G1022*$N$12,2)</f>
        <v>23252.959999999999</v>
      </c>
      <c r="K1022" s="193">
        <f t="shared" si="118"/>
        <v>93011.839999999997</v>
      </c>
      <c r="L1022" s="193"/>
      <c r="M1022" s="138"/>
      <c r="N1022" s="138"/>
      <c r="O1022" s="138"/>
      <c r="S1022" s="72"/>
      <c r="T1022" s="109">
        <f>I1022+I1035</f>
        <v>83989.24</v>
      </c>
      <c r="U1022" s="72"/>
      <c r="V1022" s="72"/>
    </row>
    <row r="1023" spans="1:22" s="63" customFormat="1" ht="15" x14ac:dyDescent="0.25">
      <c r="A1023" s="87">
        <v>8.3000000000000007</v>
      </c>
      <c r="B1023" s="81" t="s">
        <v>50</v>
      </c>
      <c r="C1023" s="82">
        <v>14</v>
      </c>
      <c r="D1023" s="131" t="s">
        <v>1006</v>
      </c>
      <c r="E1023" s="83" t="s">
        <v>1007</v>
      </c>
      <c r="F1023" s="81" t="s">
        <v>219</v>
      </c>
      <c r="G1023" s="82">
        <v>2</v>
      </c>
      <c r="H1023" s="85"/>
      <c r="I1023" s="86">
        <v>3543.34</v>
      </c>
      <c r="J1023" s="185">
        <f>ROUND($I1023/$G1023*$N$11,2)</f>
        <v>2017.22</v>
      </c>
      <c r="K1023" s="189">
        <f t="shared" si="118"/>
        <v>4034.44</v>
      </c>
      <c r="L1023" s="189"/>
      <c r="M1023" s="138"/>
      <c r="N1023" s="138"/>
      <c r="O1023" s="138"/>
      <c r="S1023" s="72"/>
      <c r="T1023" s="72"/>
      <c r="U1023" s="72"/>
      <c r="V1023" s="72"/>
    </row>
    <row r="1024" spans="1:22" s="63" customFormat="1" ht="22.5" x14ac:dyDescent="0.25">
      <c r="A1024" s="101">
        <v>8.31</v>
      </c>
      <c r="B1024" s="102" t="s">
        <v>50</v>
      </c>
      <c r="C1024" s="103">
        <v>14.1</v>
      </c>
      <c r="D1024" s="167" t="s">
        <v>1008</v>
      </c>
      <c r="E1024" s="104" t="s">
        <v>3534</v>
      </c>
      <c r="F1024" s="102" t="s">
        <v>219</v>
      </c>
      <c r="G1024" s="105">
        <v>2</v>
      </c>
      <c r="H1024" s="106"/>
      <c r="I1024" s="107">
        <v>232837.05</v>
      </c>
      <c r="J1024" s="192">
        <f>ROUND($I1024/$G1024*$N$12,2)</f>
        <v>130214.12</v>
      </c>
      <c r="K1024" s="193">
        <f t="shared" si="118"/>
        <v>260428.24</v>
      </c>
      <c r="L1024" s="193"/>
      <c r="M1024" s="138"/>
      <c r="N1024" s="138"/>
      <c r="O1024" s="138"/>
      <c r="S1024" s="72"/>
      <c r="T1024" s="72"/>
      <c r="U1024" s="72"/>
      <c r="V1024" s="72"/>
    </row>
    <row r="1025" spans="1:22" s="63" customFormat="1" ht="22.5" x14ac:dyDescent="0.25">
      <c r="A1025" s="101">
        <v>8.32</v>
      </c>
      <c r="B1025" s="102" t="s">
        <v>50</v>
      </c>
      <c r="C1025" s="103">
        <v>14.2</v>
      </c>
      <c r="D1025" s="167" t="s">
        <v>1009</v>
      </c>
      <c r="E1025" s="104" t="s">
        <v>3535</v>
      </c>
      <c r="F1025" s="102" t="s">
        <v>219</v>
      </c>
      <c r="G1025" s="105">
        <v>2</v>
      </c>
      <c r="H1025" s="106"/>
      <c r="I1025" s="107">
        <v>17370.41</v>
      </c>
      <c r="J1025" s="192">
        <f>ROUND($I1025/$G1025*$N$12,2)</f>
        <v>9714.4</v>
      </c>
      <c r="K1025" s="193">
        <f t="shared" si="118"/>
        <v>19428.8</v>
      </c>
      <c r="L1025" s="193"/>
      <c r="M1025" s="138"/>
      <c r="N1025" s="138"/>
      <c r="O1025" s="138"/>
      <c r="S1025" s="72"/>
      <c r="T1025" s="72"/>
      <c r="U1025" s="72"/>
      <c r="V1025" s="72"/>
    </row>
    <row r="1026" spans="1:22" s="63" customFormat="1" ht="15" x14ac:dyDescent="0.25">
      <c r="A1026" s="87">
        <v>8.33</v>
      </c>
      <c r="B1026" s="81" t="s">
        <v>50</v>
      </c>
      <c r="C1026" s="82">
        <v>15</v>
      </c>
      <c r="D1026" s="131" t="s">
        <v>1010</v>
      </c>
      <c r="E1026" s="83" t="s">
        <v>1011</v>
      </c>
      <c r="F1026" s="81" t="s">
        <v>1012</v>
      </c>
      <c r="G1026" s="87">
        <v>0.01</v>
      </c>
      <c r="H1026" s="85"/>
      <c r="I1026" s="86">
        <v>649.73</v>
      </c>
      <c r="J1026" s="185">
        <f>ROUND($I1026/$G1026*$N$11,2)</f>
        <v>73978.259999999995</v>
      </c>
      <c r="K1026" s="189">
        <f t="shared" si="118"/>
        <v>739.78</v>
      </c>
      <c r="L1026" s="189"/>
      <c r="M1026" s="138"/>
      <c r="N1026" s="138"/>
      <c r="O1026" s="138"/>
      <c r="S1026" s="72"/>
      <c r="T1026" s="72"/>
      <c r="U1026" s="72"/>
      <c r="V1026" s="72"/>
    </row>
    <row r="1027" spans="1:22" s="63" customFormat="1" ht="22.5" x14ac:dyDescent="0.25">
      <c r="A1027" s="101">
        <v>8.34</v>
      </c>
      <c r="B1027" s="102" t="s">
        <v>50</v>
      </c>
      <c r="C1027" s="103">
        <v>15.1</v>
      </c>
      <c r="D1027" s="167" t="s">
        <v>1013</v>
      </c>
      <c r="E1027" s="104" t="s">
        <v>3536</v>
      </c>
      <c r="F1027" s="102" t="s">
        <v>219</v>
      </c>
      <c r="G1027" s="105">
        <v>1</v>
      </c>
      <c r="H1027" s="106"/>
      <c r="I1027" s="107">
        <v>3744.52</v>
      </c>
      <c r="J1027" s="192">
        <f>ROUND($I1027/$G1027*$N$12,2)</f>
        <v>4188.25</v>
      </c>
      <c r="K1027" s="193">
        <f t="shared" si="118"/>
        <v>4188.25</v>
      </c>
      <c r="L1027" s="193"/>
      <c r="M1027" s="138"/>
      <c r="N1027" s="138"/>
      <c r="O1027" s="138"/>
      <c r="S1027" s="72"/>
      <c r="T1027" s="72"/>
      <c r="U1027" s="72"/>
      <c r="V1027" s="72"/>
    </row>
    <row r="1028" spans="1:22" s="63" customFormat="1" ht="15" x14ac:dyDescent="0.25">
      <c r="A1028" s="87">
        <v>8.35</v>
      </c>
      <c r="B1028" s="81" t="s">
        <v>50</v>
      </c>
      <c r="C1028" s="82">
        <v>16</v>
      </c>
      <c r="D1028" s="131" t="s">
        <v>1014</v>
      </c>
      <c r="E1028" s="83" t="s">
        <v>1015</v>
      </c>
      <c r="F1028" s="81" t="s">
        <v>219</v>
      </c>
      <c r="G1028" s="82">
        <v>1</v>
      </c>
      <c r="H1028" s="85"/>
      <c r="I1028" s="86">
        <v>4003.42</v>
      </c>
      <c r="J1028" s="185">
        <f>ROUND($I1028/$G1028*$N$11,2)</f>
        <v>4558.29</v>
      </c>
      <c r="K1028" s="189">
        <f t="shared" si="118"/>
        <v>4558.29</v>
      </c>
      <c r="L1028" s="189"/>
      <c r="M1028" s="138"/>
      <c r="N1028" s="138"/>
      <c r="O1028" s="138"/>
      <c r="S1028" s="72"/>
      <c r="T1028" s="72"/>
      <c r="U1028" s="72"/>
      <c r="V1028" s="72"/>
    </row>
    <row r="1029" spans="1:22" s="63" customFormat="1" ht="22.5" x14ac:dyDescent="0.25">
      <c r="A1029" s="101">
        <v>8.36</v>
      </c>
      <c r="B1029" s="102" t="s">
        <v>50</v>
      </c>
      <c r="C1029" s="103">
        <v>16.100000000000001</v>
      </c>
      <c r="D1029" s="167" t="s">
        <v>1016</v>
      </c>
      <c r="E1029" s="104" t="s">
        <v>3537</v>
      </c>
      <c r="F1029" s="102" t="s">
        <v>219</v>
      </c>
      <c r="G1029" s="105">
        <v>1</v>
      </c>
      <c r="H1029" s="106"/>
      <c r="I1029" s="107">
        <v>735.9</v>
      </c>
      <c r="J1029" s="192">
        <f>ROUND($I1029/$G1029*$N$12,2)</f>
        <v>823.1</v>
      </c>
      <c r="K1029" s="193">
        <f t="shared" si="118"/>
        <v>823.1</v>
      </c>
      <c r="L1029" s="193"/>
      <c r="M1029" s="138"/>
      <c r="N1029" s="138"/>
      <c r="O1029" s="138"/>
      <c r="S1029" s="72"/>
      <c r="T1029" s="72"/>
      <c r="U1029" s="72"/>
      <c r="V1029" s="72"/>
    </row>
    <row r="1030" spans="1:22" s="63" customFormat="1" ht="15" x14ac:dyDescent="0.25">
      <c r="A1030" s="87">
        <v>8.3699999999999992</v>
      </c>
      <c r="B1030" s="81" t="s">
        <v>50</v>
      </c>
      <c r="C1030" s="82">
        <v>17</v>
      </c>
      <c r="D1030" s="131" t="s">
        <v>1017</v>
      </c>
      <c r="E1030" s="83" t="s">
        <v>1018</v>
      </c>
      <c r="F1030" s="81" t="s">
        <v>219</v>
      </c>
      <c r="G1030" s="82">
        <v>13</v>
      </c>
      <c r="H1030" s="85"/>
      <c r="I1030" s="86">
        <v>33700.89</v>
      </c>
      <c r="J1030" s="185">
        <f>ROUND($I1030/$G1030*$N$11,2)</f>
        <v>2951.68</v>
      </c>
      <c r="K1030" s="189">
        <f t="shared" si="118"/>
        <v>38371.839999999997</v>
      </c>
      <c r="L1030" s="189"/>
      <c r="M1030" s="138"/>
      <c r="N1030" s="138"/>
      <c r="O1030" s="138"/>
      <c r="S1030" s="72"/>
      <c r="T1030" s="72"/>
      <c r="U1030" s="72"/>
      <c r="V1030" s="72"/>
    </row>
    <row r="1031" spans="1:22" s="63" customFormat="1" ht="22.5" x14ac:dyDescent="0.25">
      <c r="A1031" s="101">
        <v>8.3800000000000008</v>
      </c>
      <c r="B1031" s="102" t="s">
        <v>50</v>
      </c>
      <c r="C1031" s="103">
        <v>17.100000000000001</v>
      </c>
      <c r="D1031" s="167" t="s">
        <v>1019</v>
      </c>
      <c r="E1031" s="104" t="s">
        <v>3538</v>
      </c>
      <c r="F1031" s="102" t="s">
        <v>219</v>
      </c>
      <c r="G1031" s="105">
        <v>13</v>
      </c>
      <c r="H1031" s="106"/>
      <c r="I1031" s="107">
        <v>81960.33</v>
      </c>
      <c r="J1031" s="192">
        <f>ROUND($I1031/$G1031*$N$12,2)</f>
        <v>7051.74</v>
      </c>
      <c r="K1031" s="193">
        <f t="shared" si="118"/>
        <v>91672.62</v>
      </c>
      <c r="L1031" s="193"/>
      <c r="M1031" s="138"/>
      <c r="N1031" s="138"/>
      <c r="O1031" s="138"/>
      <c r="S1031" s="72"/>
      <c r="T1031" s="72"/>
      <c r="U1031" s="72"/>
      <c r="V1031" s="72"/>
    </row>
    <row r="1032" spans="1:22" s="63" customFormat="1" ht="33.75" x14ac:dyDescent="0.25">
      <c r="A1032" s="87">
        <v>8.39</v>
      </c>
      <c r="B1032" s="81" t="s">
        <v>50</v>
      </c>
      <c r="C1032" s="82">
        <v>18</v>
      </c>
      <c r="D1032" s="131" t="s">
        <v>1020</v>
      </c>
      <c r="E1032" s="83" t="s">
        <v>1021</v>
      </c>
      <c r="F1032" s="81" t="s">
        <v>219</v>
      </c>
      <c r="G1032" s="82">
        <v>13</v>
      </c>
      <c r="H1032" s="85"/>
      <c r="I1032" s="86">
        <v>16991.939999999999</v>
      </c>
      <c r="J1032" s="185">
        <f>ROUND($I1032/$G1032*$N$11,2)</f>
        <v>1488.23</v>
      </c>
      <c r="K1032" s="189">
        <f t="shared" si="118"/>
        <v>19346.990000000002</v>
      </c>
      <c r="L1032" s="189"/>
      <c r="M1032" s="138"/>
      <c r="N1032" s="138"/>
      <c r="O1032" s="138"/>
      <c r="S1032" s="72"/>
      <c r="T1032" s="72"/>
      <c r="U1032" s="72"/>
      <c r="V1032" s="72"/>
    </row>
    <row r="1033" spans="1:22" s="63" customFormat="1" ht="22.5" x14ac:dyDescent="0.25">
      <c r="A1033" s="101">
        <v>8.4</v>
      </c>
      <c r="B1033" s="102" t="s">
        <v>50</v>
      </c>
      <c r="C1033" s="103">
        <v>18.100000000000001</v>
      </c>
      <c r="D1033" s="167" t="s">
        <v>1022</v>
      </c>
      <c r="E1033" s="104" t="s">
        <v>3539</v>
      </c>
      <c r="F1033" s="102" t="s">
        <v>219</v>
      </c>
      <c r="G1033" s="105">
        <v>13</v>
      </c>
      <c r="H1033" s="106"/>
      <c r="I1033" s="107">
        <v>3518.72</v>
      </c>
      <c r="J1033" s="192">
        <f>ROUND($I1033/$G1033*$N$12,2)</f>
        <v>302.75</v>
      </c>
      <c r="K1033" s="193">
        <f t="shared" si="118"/>
        <v>3935.75</v>
      </c>
      <c r="L1033" s="193"/>
      <c r="M1033" s="138"/>
      <c r="N1033" s="138"/>
      <c r="O1033" s="138"/>
      <c r="S1033" s="72"/>
      <c r="T1033" s="72"/>
      <c r="U1033" s="72"/>
      <c r="V1033" s="72"/>
    </row>
    <row r="1034" spans="1:22" s="63" customFormat="1" ht="22.5" x14ac:dyDescent="0.25">
      <c r="A1034" s="87">
        <v>8.41</v>
      </c>
      <c r="B1034" s="81" t="s">
        <v>50</v>
      </c>
      <c r="C1034" s="82">
        <v>19</v>
      </c>
      <c r="D1034" s="131" t="s">
        <v>1002</v>
      </c>
      <c r="E1034" s="83" t="s">
        <v>1003</v>
      </c>
      <c r="F1034" s="81" t="s">
        <v>219</v>
      </c>
      <c r="G1034" s="82">
        <v>4</v>
      </c>
      <c r="H1034" s="85"/>
      <c r="I1034" s="86">
        <v>3213.63</v>
      </c>
      <c r="J1034" s="185">
        <f>ROUND($I1034/$G1034*$N$11,2)</f>
        <v>914.76</v>
      </c>
      <c r="K1034" s="189">
        <f t="shared" si="118"/>
        <v>3659.04</v>
      </c>
      <c r="L1034" s="189"/>
      <c r="M1034" s="138"/>
      <c r="N1034" s="138"/>
      <c r="O1034" s="138"/>
      <c r="S1034" s="72"/>
      <c r="T1034" s="72"/>
      <c r="U1034" s="72"/>
      <c r="V1034" s="72"/>
    </row>
    <row r="1035" spans="1:22" s="63" customFormat="1" ht="22.5" x14ac:dyDescent="0.25">
      <c r="A1035" s="101">
        <v>8.42</v>
      </c>
      <c r="B1035" s="102" t="s">
        <v>50</v>
      </c>
      <c r="C1035" s="103">
        <v>19.100000000000001</v>
      </c>
      <c r="D1035" s="167" t="s">
        <v>1004</v>
      </c>
      <c r="E1035" s="104" t="s">
        <v>1005</v>
      </c>
      <c r="F1035" s="102" t="s">
        <v>216</v>
      </c>
      <c r="G1035" s="101">
        <v>0.04</v>
      </c>
      <c r="H1035" s="106"/>
      <c r="I1035" s="107">
        <v>831.6</v>
      </c>
      <c r="J1035" s="192">
        <f>ROUND($I1035/$G1035*$N$12,2)</f>
        <v>23253.62</v>
      </c>
      <c r="K1035" s="193">
        <f t="shared" si="118"/>
        <v>930.14</v>
      </c>
      <c r="L1035" s="193"/>
      <c r="M1035" s="138"/>
      <c r="N1035" s="138"/>
      <c r="O1035" s="138"/>
      <c r="S1035" s="72"/>
      <c r="T1035" s="72"/>
      <c r="U1035" s="72"/>
      <c r="V1035" s="72"/>
    </row>
    <row r="1036" spans="1:22" s="63" customFormat="1" ht="33.75" x14ac:dyDescent="0.25">
      <c r="A1036" s="87">
        <v>8.43</v>
      </c>
      <c r="B1036" s="81" t="s">
        <v>50</v>
      </c>
      <c r="C1036" s="82">
        <v>20</v>
      </c>
      <c r="D1036" s="131" t="s">
        <v>1020</v>
      </c>
      <c r="E1036" s="83" t="s">
        <v>1021</v>
      </c>
      <c r="F1036" s="81" t="s">
        <v>219</v>
      </c>
      <c r="G1036" s="82">
        <v>13</v>
      </c>
      <c r="H1036" s="85"/>
      <c r="I1036" s="86">
        <v>16991.939999999999</v>
      </c>
      <c r="J1036" s="185">
        <f>ROUND($I1036/$G1036*$N$11,2)</f>
        <v>1488.23</v>
      </c>
      <c r="K1036" s="189">
        <f t="shared" si="118"/>
        <v>19346.990000000002</v>
      </c>
      <c r="L1036" s="189"/>
      <c r="M1036" s="138"/>
      <c r="N1036" s="138"/>
      <c r="O1036" s="138"/>
      <c r="S1036" s="72"/>
      <c r="T1036" s="72"/>
      <c r="U1036" s="72"/>
      <c r="V1036" s="72"/>
    </row>
    <row r="1037" spans="1:22" s="63" customFormat="1" ht="22.5" x14ac:dyDescent="0.25">
      <c r="A1037" s="101">
        <v>8.44</v>
      </c>
      <c r="B1037" s="102" t="s">
        <v>50</v>
      </c>
      <c r="C1037" s="103">
        <v>20.100000000000001</v>
      </c>
      <c r="D1037" s="167" t="s">
        <v>1023</v>
      </c>
      <c r="E1037" s="104" t="s">
        <v>3540</v>
      </c>
      <c r="F1037" s="102" t="s">
        <v>219</v>
      </c>
      <c r="G1037" s="105">
        <v>9</v>
      </c>
      <c r="H1037" s="106"/>
      <c r="I1037" s="107">
        <v>58610.31</v>
      </c>
      <c r="J1037" s="192">
        <f>ROUND($I1037/$G1037*$N$12,2)</f>
        <v>7283.96</v>
      </c>
      <c r="K1037" s="193">
        <f t="shared" si="118"/>
        <v>65555.64</v>
      </c>
      <c r="L1037" s="193"/>
      <c r="M1037" s="138"/>
      <c r="N1037" s="138"/>
      <c r="O1037" s="138"/>
      <c r="S1037" s="72"/>
      <c r="T1037" s="72"/>
      <c r="U1037" s="72"/>
      <c r="V1037" s="72"/>
    </row>
    <row r="1038" spans="1:22" s="63" customFormat="1" ht="33.75" x14ac:dyDescent="0.25">
      <c r="A1038" s="101">
        <v>8.4499999999999993</v>
      </c>
      <c r="B1038" s="102" t="s">
        <v>50</v>
      </c>
      <c r="C1038" s="103">
        <v>20.2</v>
      </c>
      <c r="D1038" s="167" t="s">
        <v>1024</v>
      </c>
      <c r="E1038" s="104" t="s">
        <v>3541</v>
      </c>
      <c r="F1038" s="102" t="s">
        <v>219</v>
      </c>
      <c r="G1038" s="105">
        <v>1</v>
      </c>
      <c r="H1038" s="106"/>
      <c r="I1038" s="107">
        <v>2002.26</v>
      </c>
      <c r="J1038" s="192">
        <f>ROUND($I1038/$G1038*$N$12,2)</f>
        <v>2239.5300000000002</v>
      </c>
      <c r="K1038" s="193">
        <f t="shared" si="118"/>
        <v>2239.5300000000002</v>
      </c>
      <c r="L1038" s="193"/>
      <c r="M1038" s="138"/>
      <c r="N1038" s="138"/>
      <c r="O1038" s="138"/>
      <c r="S1038" s="72"/>
      <c r="T1038" s="72"/>
      <c r="U1038" s="72"/>
      <c r="V1038" s="72"/>
    </row>
    <row r="1039" spans="1:22" s="63" customFormat="1" ht="22.5" x14ac:dyDescent="0.25">
      <c r="A1039" s="101">
        <v>8.4600000000000009</v>
      </c>
      <c r="B1039" s="102" t="s">
        <v>50</v>
      </c>
      <c r="C1039" s="103">
        <v>20.3</v>
      </c>
      <c r="D1039" s="167" t="s">
        <v>1025</v>
      </c>
      <c r="E1039" s="104" t="s">
        <v>3542</v>
      </c>
      <c r="F1039" s="102" t="s">
        <v>219</v>
      </c>
      <c r="G1039" s="105">
        <v>3</v>
      </c>
      <c r="H1039" s="106"/>
      <c r="I1039" s="107">
        <v>22011.919999999998</v>
      </c>
      <c r="J1039" s="192">
        <f>ROUND($I1039/$G1039*$N$12,2)</f>
        <v>8206.7800000000007</v>
      </c>
      <c r="K1039" s="193">
        <f t="shared" si="118"/>
        <v>24620.34</v>
      </c>
      <c r="L1039" s="193"/>
      <c r="M1039" s="138"/>
      <c r="N1039" s="138"/>
      <c r="O1039" s="138"/>
      <c r="S1039" s="72"/>
      <c r="T1039" s="72"/>
      <c r="U1039" s="72"/>
      <c r="V1039" s="72"/>
    </row>
    <row r="1040" spans="1:22" s="63" customFormat="1" ht="15" x14ac:dyDescent="0.25">
      <c r="A1040" s="252"/>
      <c r="B1040" s="253"/>
      <c r="C1040" s="254"/>
      <c r="D1040" s="255"/>
      <c r="E1040" s="256" t="s">
        <v>3287</v>
      </c>
      <c r="F1040" s="253"/>
      <c r="G1040" s="257"/>
      <c r="H1040" s="258"/>
      <c r="I1040" s="259"/>
      <c r="J1040" s="260"/>
      <c r="K1040" s="261"/>
      <c r="L1040" s="261"/>
      <c r="M1040" s="138"/>
      <c r="N1040" s="138"/>
      <c r="O1040" s="138"/>
      <c r="S1040" s="72"/>
      <c r="T1040" s="72"/>
      <c r="U1040" s="72"/>
      <c r="V1040" s="72"/>
    </row>
    <row r="1041" spans="1:22" s="63" customFormat="1" ht="15" x14ac:dyDescent="0.25">
      <c r="A1041" s="87">
        <v>8.4700000000000006</v>
      </c>
      <c r="B1041" s="81" t="s">
        <v>50</v>
      </c>
      <c r="C1041" s="82">
        <v>21</v>
      </c>
      <c r="D1041" s="131" t="s">
        <v>1026</v>
      </c>
      <c r="E1041" s="83" t="s">
        <v>1027</v>
      </c>
      <c r="F1041" s="81" t="s">
        <v>219</v>
      </c>
      <c r="G1041" s="82">
        <v>32</v>
      </c>
      <c r="H1041" s="85"/>
      <c r="I1041" s="86">
        <v>92043.33</v>
      </c>
      <c r="J1041" s="185">
        <f>ROUND($I1041/$G1041*$N$11,2)</f>
        <v>3275.02</v>
      </c>
      <c r="K1041" s="189">
        <f t="shared" ref="K1041:K1060" si="119">ROUND(G1041*J1041,2)</f>
        <v>104800.64</v>
      </c>
      <c r="L1041" s="189"/>
      <c r="M1041" s="138"/>
      <c r="N1041" s="138"/>
      <c r="O1041" s="138"/>
      <c r="S1041" s="72"/>
      <c r="T1041" s="72"/>
      <c r="U1041" s="72"/>
      <c r="V1041" s="72"/>
    </row>
    <row r="1042" spans="1:22" s="63" customFormat="1" ht="22.5" x14ac:dyDescent="0.25">
      <c r="A1042" s="101">
        <v>8.48</v>
      </c>
      <c r="B1042" s="102" t="s">
        <v>50</v>
      </c>
      <c r="C1042" s="103">
        <v>21.1</v>
      </c>
      <c r="D1042" s="167" t="s">
        <v>1028</v>
      </c>
      <c r="E1042" s="104" t="s">
        <v>3543</v>
      </c>
      <c r="F1042" s="102" t="s">
        <v>219</v>
      </c>
      <c r="G1042" s="105">
        <v>19</v>
      </c>
      <c r="H1042" s="106"/>
      <c r="I1042" s="107">
        <v>269337.69</v>
      </c>
      <c r="J1042" s="192">
        <f>ROUND($I1042/$G1042*$N$12,2)</f>
        <v>15855.48</v>
      </c>
      <c r="K1042" s="193">
        <f t="shared" si="119"/>
        <v>301254.12</v>
      </c>
      <c r="L1042" s="193"/>
      <c r="M1042" s="138"/>
      <c r="N1042" s="138"/>
      <c r="O1042" s="138"/>
      <c r="S1042" s="72"/>
      <c r="T1042" s="72"/>
      <c r="U1042" s="72"/>
      <c r="V1042" s="72"/>
    </row>
    <row r="1043" spans="1:22" s="63" customFormat="1" ht="22.5" x14ac:dyDescent="0.25">
      <c r="A1043" s="101">
        <v>8.49</v>
      </c>
      <c r="B1043" s="102" t="s">
        <v>50</v>
      </c>
      <c r="C1043" s="103">
        <v>21.2</v>
      </c>
      <c r="D1043" s="167" t="s">
        <v>1029</v>
      </c>
      <c r="E1043" s="104" t="s">
        <v>3544</v>
      </c>
      <c r="F1043" s="102" t="s">
        <v>219</v>
      </c>
      <c r="G1043" s="105">
        <v>13</v>
      </c>
      <c r="H1043" s="106"/>
      <c r="I1043" s="107">
        <v>183563.05</v>
      </c>
      <c r="J1043" s="192">
        <f>ROUND($I1043/$G1043*$N$12,2)</f>
        <v>15793.48</v>
      </c>
      <c r="K1043" s="193">
        <f t="shared" si="119"/>
        <v>205315.24</v>
      </c>
      <c r="L1043" s="193"/>
      <c r="M1043" s="138"/>
      <c r="N1043" s="138"/>
      <c r="O1043" s="138"/>
      <c r="S1043" s="72"/>
      <c r="T1043" s="72"/>
      <c r="U1043" s="72"/>
      <c r="V1043" s="72"/>
    </row>
    <row r="1044" spans="1:22" s="63" customFormat="1" ht="15" x14ac:dyDescent="0.25">
      <c r="A1044" s="87">
        <v>8.5</v>
      </c>
      <c r="B1044" s="81" t="s">
        <v>50</v>
      </c>
      <c r="C1044" s="82">
        <v>22</v>
      </c>
      <c r="D1044" s="131" t="s">
        <v>1030</v>
      </c>
      <c r="E1044" s="83" t="s">
        <v>1031</v>
      </c>
      <c r="F1044" s="81" t="s">
        <v>219</v>
      </c>
      <c r="G1044" s="82">
        <v>1</v>
      </c>
      <c r="H1044" s="85"/>
      <c r="I1044" s="86">
        <v>7071.69</v>
      </c>
      <c r="J1044" s="185">
        <f>ROUND($I1044/$G1044*$N$11,2)</f>
        <v>8051.83</v>
      </c>
      <c r="K1044" s="189">
        <f t="shared" si="119"/>
        <v>8051.83</v>
      </c>
      <c r="L1044" s="189"/>
      <c r="M1044" s="138"/>
      <c r="N1044" s="138"/>
      <c r="O1044" s="138"/>
      <c r="S1044" s="72"/>
      <c r="T1044" s="72"/>
      <c r="U1044" s="72"/>
      <c r="V1044" s="72"/>
    </row>
    <row r="1045" spans="1:22" s="63" customFormat="1" ht="22.5" x14ac:dyDescent="0.25">
      <c r="A1045" s="101">
        <v>8.51</v>
      </c>
      <c r="B1045" s="102" t="s">
        <v>50</v>
      </c>
      <c r="C1045" s="103">
        <v>22.1</v>
      </c>
      <c r="D1045" s="167" t="s">
        <v>1032</v>
      </c>
      <c r="E1045" s="104" t="s">
        <v>3545</v>
      </c>
      <c r="F1045" s="102" t="s">
        <v>219</v>
      </c>
      <c r="G1045" s="105">
        <v>1</v>
      </c>
      <c r="H1045" s="106"/>
      <c r="I1045" s="107">
        <v>80753.8</v>
      </c>
      <c r="J1045" s="192">
        <f>ROUND($I1045/$G1045*$N$12,2)</f>
        <v>90323.13</v>
      </c>
      <c r="K1045" s="193">
        <f t="shared" si="119"/>
        <v>90323.13</v>
      </c>
      <c r="L1045" s="193"/>
      <c r="M1045" s="138"/>
      <c r="N1045" s="138"/>
      <c r="O1045" s="138"/>
      <c r="S1045" s="72"/>
      <c r="T1045" s="72"/>
      <c r="U1045" s="72"/>
      <c r="V1045" s="72"/>
    </row>
    <row r="1046" spans="1:22" s="63" customFormat="1" ht="15" x14ac:dyDescent="0.25">
      <c r="A1046" s="87">
        <v>8.52</v>
      </c>
      <c r="B1046" s="81" t="s">
        <v>50</v>
      </c>
      <c r="C1046" s="82">
        <v>23</v>
      </c>
      <c r="D1046" s="131" t="s">
        <v>977</v>
      </c>
      <c r="E1046" s="83" t="s">
        <v>978</v>
      </c>
      <c r="F1046" s="81" t="s">
        <v>219</v>
      </c>
      <c r="G1046" s="82">
        <v>8</v>
      </c>
      <c r="H1046" s="85"/>
      <c r="I1046" s="86">
        <v>7512.39</v>
      </c>
      <c r="J1046" s="185">
        <f>ROUND($I1046/$G1046*$N$11,2)</f>
        <v>1069.2</v>
      </c>
      <c r="K1046" s="189">
        <f t="shared" si="119"/>
        <v>8553.6</v>
      </c>
      <c r="L1046" s="189"/>
      <c r="M1046" s="138"/>
      <c r="N1046" s="138"/>
      <c r="O1046" s="138"/>
      <c r="S1046" s="72"/>
      <c r="T1046" s="72"/>
      <c r="U1046" s="72"/>
      <c r="V1046" s="72"/>
    </row>
    <row r="1047" spans="1:22" s="63" customFormat="1" ht="22.5" x14ac:dyDescent="0.25">
      <c r="A1047" s="101">
        <v>8.5299999999999994</v>
      </c>
      <c r="B1047" s="102" t="s">
        <v>50</v>
      </c>
      <c r="C1047" s="103">
        <v>23.1</v>
      </c>
      <c r="D1047" s="167" t="s">
        <v>1033</v>
      </c>
      <c r="E1047" s="104" t="s">
        <v>3546</v>
      </c>
      <c r="F1047" s="102" t="s">
        <v>219</v>
      </c>
      <c r="G1047" s="105">
        <v>8</v>
      </c>
      <c r="H1047" s="106"/>
      <c r="I1047" s="107">
        <v>158729.26999999999</v>
      </c>
      <c r="J1047" s="192">
        <f>ROUND($I1047/$G1047*$N$12,2)</f>
        <v>22192.34</v>
      </c>
      <c r="K1047" s="193">
        <f t="shared" si="119"/>
        <v>177538.72</v>
      </c>
      <c r="L1047" s="193"/>
      <c r="M1047" s="138"/>
      <c r="N1047" s="138"/>
      <c r="O1047" s="138"/>
      <c r="S1047" s="72"/>
      <c r="T1047" s="72"/>
      <c r="U1047" s="72"/>
      <c r="V1047" s="72"/>
    </row>
    <row r="1048" spans="1:22" s="63" customFormat="1" ht="15" x14ac:dyDescent="0.25">
      <c r="A1048" s="87">
        <v>8.5399999999999991</v>
      </c>
      <c r="B1048" s="81" t="s">
        <v>50</v>
      </c>
      <c r="C1048" s="82">
        <v>24</v>
      </c>
      <c r="D1048" s="131" t="s">
        <v>1034</v>
      </c>
      <c r="E1048" s="83" t="s">
        <v>1035</v>
      </c>
      <c r="F1048" s="81" t="s">
        <v>219</v>
      </c>
      <c r="G1048" s="82">
        <v>5</v>
      </c>
      <c r="H1048" s="85"/>
      <c r="I1048" s="86">
        <v>6084.49</v>
      </c>
      <c r="J1048" s="185">
        <f>ROUND($I1048/$G1048*$N$11,2)</f>
        <v>1385.56</v>
      </c>
      <c r="K1048" s="189">
        <f t="shared" si="119"/>
        <v>6927.8</v>
      </c>
      <c r="L1048" s="189"/>
      <c r="M1048" s="138"/>
      <c r="N1048" s="138"/>
      <c r="O1048" s="138"/>
      <c r="S1048" s="72"/>
      <c r="T1048" s="72"/>
      <c r="U1048" s="72"/>
      <c r="V1048" s="72"/>
    </row>
    <row r="1049" spans="1:22" s="63" customFormat="1" ht="15" x14ac:dyDescent="0.25">
      <c r="A1049" s="101">
        <v>8.5500000000000007</v>
      </c>
      <c r="B1049" s="102" t="s">
        <v>50</v>
      </c>
      <c r="C1049" s="103">
        <v>24.1</v>
      </c>
      <c r="D1049" s="167" t="s">
        <v>1036</v>
      </c>
      <c r="E1049" s="104" t="s">
        <v>3547</v>
      </c>
      <c r="F1049" s="102" t="s">
        <v>219</v>
      </c>
      <c r="G1049" s="105">
        <v>5</v>
      </c>
      <c r="H1049" s="106"/>
      <c r="I1049" s="107">
        <v>244527.82</v>
      </c>
      <c r="J1049" s="192">
        <f>ROUND($I1049/$G1049*$N$12,2)</f>
        <v>54700.87</v>
      </c>
      <c r="K1049" s="193">
        <f t="shared" si="119"/>
        <v>273504.34999999998</v>
      </c>
      <c r="L1049" s="193"/>
      <c r="M1049" s="138"/>
      <c r="N1049" s="138"/>
      <c r="O1049" s="138"/>
      <c r="S1049" s="72"/>
      <c r="T1049" s="72"/>
      <c r="U1049" s="72"/>
      <c r="V1049" s="72"/>
    </row>
    <row r="1050" spans="1:22" s="63" customFormat="1" ht="15" x14ac:dyDescent="0.25">
      <c r="A1050" s="87">
        <v>8.56</v>
      </c>
      <c r="B1050" s="81" t="s">
        <v>50</v>
      </c>
      <c r="C1050" s="82">
        <v>25</v>
      </c>
      <c r="D1050" s="131" t="s">
        <v>1030</v>
      </c>
      <c r="E1050" s="83" t="s">
        <v>1031</v>
      </c>
      <c r="F1050" s="81" t="s">
        <v>219</v>
      </c>
      <c r="G1050" s="82">
        <v>1</v>
      </c>
      <c r="H1050" s="85"/>
      <c r="I1050" s="86">
        <v>7071.69</v>
      </c>
      <c r="J1050" s="185">
        <f>ROUND($I1050/$G1050*$N$11,2)</f>
        <v>8051.83</v>
      </c>
      <c r="K1050" s="189">
        <f t="shared" si="119"/>
        <v>8051.83</v>
      </c>
      <c r="L1050" s="189"/>
      <c r="M1050" s="138"/>
      <c r="N1050" s="138"/>
      <c r="O1050" s="138"/>
      <c r="S1050" s="72"/>
      <c r="T1050" s="72"/>
      <c r="U1050" s="72"/>
      <c r="V1050" s="72"/>
    </row>
    <row r="1051" spans="1:22" s="63" customFormat="1" ht="22.5" x14ac:dyDescent="0.25">
      <c r="A1051" s="101">
        <v>8.57</v>
      </c>
      <c r="B1051" s="102" t="s">
        <v>50</v>
      </c>
      <c r="C1051" s="103">
        <v>25.1</v>
      </c>
      <c r="D1051" s="167" t="s">
        <v>1037</v>
      </c>
      <c r="E1051" s="104" t="s">
        <v>3548</v>
      </c>
      <c r="F1051" s="102" t="s">
        <v>219</v>
      </c>
      <c r="G1051" s="105">
        <v>1</v>
      </c>
      <c r="H1051" s="106"/>
      <c r="I1051" s="107">
        <v>90645.56</v>
      </c>
      <c r="J1051" s="192">
        <f>ROUND($I1051/$G1051*$N$12,2)</f>
        <v>101387.06</v>
      </c>
      <c r="K1051" s="193">
        <f t="shared" si="119"/>
        <v>101387.06</v>
      </c>
      <c r="L1051" s="193"/>
      <c r="M1051" s="138"/>
      <c r="N1051" s="138"/>
      <c r="O1051" s="138"/>
      <c r="S1051" s="72"/>
      <c r="T1051" s="72"/>
      <c r="U1051" s="72"/>
      <c r="V1051" s="72"/>
    </row>
    <row r="1052" spans="1:22" s="63" customFormat="1" ht="15" x14ac:dyDescent="0.25">
      <c r="A1052" s="87">
        <v>8.58</v>
      </c>
      <c r="B1052" s="81" t="s">
        <v>50</v>
      </c>
      <c r="C1052" s="82">
        <v>26</v>
      </c>
      <c r="D1052" s="131" t="s">
        <v>977</v>
      </c>
      <c r="E1052" s="83" t="s">
        <v>978</v>
      </c>
      <c r="F1052" s="81" t="s">
        <v>219</v>
      </c>
      <c r="G1052" s="82">
        <v>21</v>
      </c>
      <c r="H1052" s="85"/>
      <c r="I1052" s="86">
        <v>19720.03</v>
      </c>
      <c r="J1052" s="185">
        <f>ROUND($I1052/$G1052*$N$11,2)</f>
        <v>1069.2</v>
      </c>
      <c r="K1052" s="189">
        <f t="shared" si="119"/>
        <v>22453.200000000001</v>
      </c>
      <c r="L1052" s="189"/>
      <c r="M1052" s="138"/>
      <c r="N1052" s="138"/>
      <c r="O1052" s="138"/>
      <c r="S1052" s="72"/>
      <c r="T1052" s="72"/>
      <c r="U1052" s="72"/>
      <c r="V1052" s="72"/>
    </row>
    <row r="1053" spans="1:22" s="63" customFormat="1" ht="22.5" x14ac:dyDescent="0.25">
      <c r="A1053" s="101">
        <v>8.59</v>
      </c>
      <c r="B1053" s="102" t="s">
        <v>50</v>
      </c>
      <c r="C1053" s="103">
        <v>26.1</v>
      </c>
      <c r="D1053" s="167" t="s">
        <v>1038</v>
      </c>
      <c r="E1053" s="104" t="s">
        <v>3549</v>
      </c>
      <c r="F1053" s="102" t="s">
        <v>219</v>
      </c>
      <c r="G1053" s="105">
        <v>2</v>
      </c>
      <c r="H1053" s="106"/>
      <c r="I1053" s="107">
        <v>52198.14</v>
      </c>
      <c r="J1053" s="192">
        <f>ROUND($I1053/$G1053*$N$12,2)</f>
        <v>29191.81</v>
      </c>
      <c r="K1053" s="193">
        <f t="shared" si="119"/>
        <v>58383.62</v>
      </c>
      <c r="L1053" s="193"/>
      <c r="M1053" s="138"/>
      <c r="N1053" s="138"/>
      <c r="O1053" s="138"/>
      <c r="S1053" s="72"/>
      <c r="T1053" s="72"/>
      <c r="U1053" s="72"/>
      <c r="V1053" s="72"/>
    </row>
    <row r="1054" spans="1:22" s="63" customFormat="1" ht="15" x14ac:dyDescent="0.25">
      <c r="A1054" s="101">
        <v>8.6</v>
      </c>
      <c r="B1054" s="102" t="s">
        <v>50</v>
      </c>
      <c r="C1054" s="103">
        <v>26.2</v>
      </c>
      <c r="D1054" s="167" t="s">
        <v>1039</v>
      </c>
      <c r="E1054" s="104" t="s">
        <v>3550</v>
      </c>
      <c r="F1054" s="102" t="s">
        <v>219</v>
      </c>
      <c r="G1054" s="105">
        <v>19</v>
      </c>
      <c r="H1054" s="106"/>
      <c r="I1054" s="107">
        <v>74351.34</v>
      </c>
      <c r="J1054" s="192">
        <f>ROUND($I1054/$G1054*$N$12,2)</f>
        <v>4376.95</v>
      </c>
      <c r="K1054" s="193">
        <f t="shared" si="119"/>
        <v>83162.05</v>
      </c>
      <c r="L1054" s="193"/>
      <c r="M1054" s="138"/>
      <c r="N1054" s="138"/>
      <c r="O1054" s="138"/>
      <c r="S1054" s="72"/>
      <c r="T1054" s="72"/>
      <c r="U1054" s="72"/>
      <c r="V1054" s="72"/>
    </row>
    <row r="1055" spans="1:22" s="63" customFormat="1" ht="15" x14ac:dyDescent="0.25">
      <c r="A1055" s="87">
        <v>8.61</v>
      </c>
      <c r="B1055" s="81" t="s">
        <v>50</v>
      </c>
      <c r="C1055" s="82">
        <v>27</v>
      </c>
      <c r="D1055" s="131" t="s">
        <v>1040</v>
      </c>
      <c r="E1055" s="83" t="s">
        <v>1041</v>
      </c>
      <c r="F1055" s="81" t="s">
        <v>354</v>
      </c>
      <c r="G1055" s="80">
        <v>0.1</v>
      </c>
      <c r="H1055" s="85"/>
      <c r="I1055" s="86">
        <v>2028.27</v>
      </c>
      <c r="J1055" s="185">
        <f t="shared" ref="J1055:J1060" si="120">ROUND($I1055/$G1055*$N$11,2)</f>
        <v>23093.88</v>
      </c>
      <c r="K1055" s="189">
        <f t="shared" si="119"/>
        <v>2309.39</v>
      </c>
      <c r="L1055" s="189"/>
      <c r="M1055" s="138"/>
      <c r="N1055" s="138"/>
      <c r="O1055" s="138"/>
      <c r="S1055" s="72"/>
      <c r="T1055" s="72"/>
      <c r="U1055" s="72"/>
      <c r="V1055" s="72"/>
    </row>
    <row r="1056" spans="1:22" s="63" customFormat="1" ht="15" x14ac:dyDescent="0.25">
      <c r="A1056" s="87">
        <v>8.6199999999999992</v>
      </c>
      <c r="B1056" s="81" t="s">
        <v>50</v>
      </c>
      <c r="C1056" s="80">
        <v>27.1</v>
      </c>
      <c r="D1056" s="131" t="s">
        <v>1042</v>
      </c>
      <c r="E1056" s="83" t="s">
        <v>3551</v>
      </c>
      <c r="F1056" s="81" t="s">
        <v>334</v>
      </c>
      <c r="G1056" s="82">
        <v>10</v>
      </c>
      <c r="H1056" s="85"/>
      <c r="I1056" s="86">
        <v>2578.84</v>
      </c>
      <c r="J1056" s="185">
        <f t="shared" si="120"/>
        <v>293.63</v>
      </c>
      <c r="K1056" s="189">
        <f t="shared" si="119"/>
        <v>2936.3</v>
      </c>
      <c r="L1056" s="189"/>
      <c r="M1056" s="138"/>
      <c r="N1056" s="138"/>
      <c r="O1056" s="138"/>
      <c r="S1056" s="72"/>
      <c r="T1056" s="72"/>
      <c r="U1056" s="72"/>
      <c r="V1056" s="72"/>
    </row>
    <row r="1057" spans="1:22" s="63" customFormat="1" ht="22.5" x14ac:dyDescent="0.25">
      <c r="A1057" s="87">
        <v>8.6300000000000008</v>
      </c>
      <c r="B1057" s="81" t="s">
        <v>50</v>
      </c>
      <c r="C1057" s="80">
        <v>27.2</v>
      </c>
      <c r="D1057" s="131" t="s">
        <v>1043</v>
      </c>
      <c r="E1057" s="83" t="s">
        <v>3552</v>
      </c>
      <c r="F1057" s="81" t="s">
        <v>334</v>
      </c>
      <c r="G1057" s="82">
        <v>2</v>
      </c>
      <c r="H1057" s="85"/>
      <c r="I1057" s="86">
        <v>761.46</v>
      </c>
      <c r="J1057" s="185">
        <f t="shared" si="120"/>
        <v>433.5</v>
      </c>
      <c r="K1057" s="189">
        <f t="shared" si="119"/>
        <v>867</v>
      </c>
      <c r="L1057" s="189"/>
      <c r="M1057" s="138"/>
      <c r="N1057" s="138"/>
      <c r="O1057" s="138"/>
      <c r="S1057" s="72"/>
      <c r="T1057" s="72"/>
      <c r="U1057" s="72"/>
      <c r="V1057" s="72"/>
    </row>
    <row r="1058" spans="1:22" s="63" customFormat="1" ht="22.5" x14ac:dyDescent="0.25">
      <c r="A1058" s="87">
        <v>8.64</v>
      </c>
      <c r="B1058" s="81" t="s">
        <v>50</v>
      </c>
      <c r="C1058" s="80">
        <v>27.3</v>
      </c>
      <c r="D1058" s="131" t="s">
        <v>1044</v>
      </c>
      <c r="E1058" s="83" t="s">
        <v>3553</v>
      </c>
      <c r="F1058" s="81" t="s">
        <v>334</v>
      </c>
      <c r="G1058" s="82">
        <v>2</v>
      </c>
      <c r="H1058" s="85"/>
      <c r="I1058" s="86">
        <v>859.14</v>
      </c>
      <c r="J1058" s="185">
        <f t="shared" si="120"/>
        <v>489.11</v>
      </c>
      <c r="K1058" s="189">
        <f t="shared" si="119"/>
        <v>978.22</v>
      </c>
      <c r="L1058" s="189"/>
      <c r="M1058" s="138"/>
      <c r="N1058" s="138"/>
      <c r="O1058" s="138"/>
      <c r="S1058" s="72"/>
      <c r="T1058" s="72"/>
      <c r="U1058" s="72"/>
      <c r="V1058" s="72"/>
    </row>
    <row r="1059" spans="1:22" s="63" customFormat="1" ht="15" x14ac:dyDescent="0.25">
      <c r="A1059" s="87">
        <v>8.65</v>
      </c>
      <c r="B1059" s="81" t="s">
        <v>50</v>
      </c>
      <c r="C1059" s="82">
        <v>28</v>
      </c>
      <c r="D1059" s="131" t="s">
        <v>1045</v>
      </c>
      <c r="E1059" s="83" t="s">
        <v>1046</v>
      </c>
      <c r="F1059" s="81" t="s">
        <v>354</v>
      </c>
      <c r="G1059" s="82">
        <v>7</v>
      </c>
      <c r="H1059" s="85"/>
      <c r="I1059" s="86">
        <v>171385.49</v>
      </c>
      <c r="J1059" s="185">
        <f t="shared" si="120"/>
        <v>27877.07</v>
      </c>
      <c r="K1059" s="189">
        <f t="shared" si="119"/>
        <v>195139.49</v>
      </c>
      <c r="L1059" s="189"/>
      <c r="M1059" s="138"/>
      <c r="N1059" s="138"/>
      <c r="O1059" s="138"/>
      <c r="S1059" s="72"/>
      <c r="T1059" s="72"/>
      <c r="U1059" s="72"/>
      <c r="V1059" s="72"/>
    </row>
    <row r="1060" spans="1:22" s="63" customFormat="1" ht="15" x14ac:dyDescent="0.25">
      <c r="A1060" s="87">
        <v>8.66</v>
      </c>
      <c r="B1060" s="81" t="s">
        <v>50</v>
      </c>
      <c r="C1060" s="80">
        <v>28.1</v>
      </c>
      <c r="D1060" s="131" t="s">
        <v>1047</v>
      </c>
      <c r="E1060" s="83" t="s">
        <v>3554</v>
      </c>
      <c r="F1060" s="81" t="s">
        <v>334</v>
      </c>
      <c r="G1060" s="82">
        <v>700</v>
      </c>
      <c r="H1060" s="85"/>
      <c r="I1060" s="86">
        <v>139137.17000000001</v>
      </c>
      <c r="J1060" s="185">
        <f t="shared" si="120"/>
        <v>226.32</v>
      </c>
      <c r="K1060" s="189">
        <f t="shared" si="119"/>
        <v>158424</v>
      </c>
      <c r="L1060" s="189"/>
      <c r="M1060" s="138"/>
      <c r="N1060" s="138"/>
      <c r="O1060" s="138"/>
      <c r="S1060" s="72"/>
      <c r="T1060" s="72"/>
      <c r="U1060" s="72"/>
      <c r="V1060" s="72"/>
    </row>
    <row r="1061" spans="1:22" s="128" customFormat="1" ht="12.75" x14ac:dyDescent="0.25">
      <c r="A1061" s="237"/>
      <c r="B1061" s="125"/>
      <c r="C1061" s="236"/>
      <c r="D1061" s="77"/>
      <c r="E1061" s="126" t="s">
        <v>3288</v>
      </c>
      <c r="F1061" s="125"/>
      <c r="G1061" s="76"/>
      <c r="H1061" s="127"/>
      <c r="I1061" s="78"/>
      <c r="J1061" s="238"/>
      <c r="K1061" s="239"/>
      <c r="L1061" s="239"/>
      <c r="M1061" s="79"/>
      <c r="N1061" s="79"/>
      <c r="O1061" s="79"/>
      <c r="S1061" s="129"/>
      <c r="T1061" s="129"/>
      <c r="U1061" s="129"/>
      <c r="V1061" s="129"/>
    </row>
    <row r="1062" spans="1:22" s="63" customFormat="1" ht="15" x14ac:dyDescent="0.25">
      <c r="A1062" s="87">
        <v>8.67</v>
      </c>
      <c r="B1062" s="81" t="s">
        <v>50</v>
      </c>
      <c r="C1062" s="82">
        <v>29</v>
      </c>
      <c r="D1062" s="131" t="s">
        <v>1048</v>
      </c>
      <c r="E1062" s="83" t="s">
        <v>1049</v>
      </c>
      <c r="F1062" s="81" t="s">
        <v>354</v>
      </c>
      <c r="G1062" s="87">
        <v>24.05</v>
      </c>
      <c r="H1062" s="85"/>
      <c r="I1062" s="86">
        <v>69744.69</v>
      </c>
      <c r="J1062" s="185">
        <f t="shared" ref="J1062:J1075" si="121">ROUND($I1062/$G1062*$N$11,2)</f>
        <v>3301.93</v>
      </c>
      <c r="K1062" s="189">
        <f t="shared" ref="K1062:K1075" si="122">ROUND(G1062*J1062,2)</f>
        <v>79411.42</v>
      </c>
      <c r="L1062" s="189"/>
      <c r="M1062" s="138"/>
      <c r="N1062" s="138"/>
      <c r="O1062" s="138"/>
      <c r="S1062" s="72"/>
      <c r="T1062" s="72"/>
      <c r="U1062" s="72"/>
      <c r="V1062" s="72"/>
    </row>
    <row r="1063" spans="1:22" s="63" customFormat="1" ht="15" x14ac:dyDescent="0.25">
      <c r="A1063" s="87">
        <v>8.68</v>
      </c>
      <c r="B1063" s="81" t="s">
        <v>50</v>
      </c>
      <c r="C1063" s="82">
        <v>30</v>
      </c>
      <c r="D1063" s="131" t="s">
        <v>1050</v>
      </c>
      <c r="E1063" s="83" t="s">
        <v>1051</v>
      </c>
      <c r="F1063" s="81" t="s">
        <v>354</v>
      </c>
      <c r="G1063" s="87">
        <v>0.21</v>
      </c>
      <c r="H1063" s="85"/>
      <c r="I1063" s="86">
        <v>802.19</v>
      </c>
      <c r="J1063" s="185">
        <f t="shared" si="121"/>
        <v>4349.3999999999996</v>
      </c>
      <c r="K1063" s="189">
        <f t="shared" si="122"/>
        <v>913.37</v>
      </c>
      <c r="L1063" s="189"/>
      <c r="M1063" s="138"/>
      <c r="N1063" s="138"/>
      <c r="O1063" s="138"/>
      <c r="S1063" s="72"/>
      <c r="T1063" s="72"/>
      <c r="U1063" s="72"/>
      <c r="V1063" s="72"/>
    </row>
    <row r="1064" spans="1:22" s="63" customFormat="1" ht="22.5" x14ac:dyDescent="0.25">
      <c r="A1064" s="87">
        <v>8.69</v>
      </c>
      <c r="B1064" s="81" t="s">
        <v>50</v>
      </c>
      <c r="C1064" s="82">
        <v>31</v>
      </c>
      <c r="D1064" s="131" t="s">
        <v>1052</v>
      </c>
      <c r="E1064" s="83" t="s">
        <v>1053</v>
      </c>
      <c r="F1064" s="81" t="s">
        <v>354</v>
      </c>
      <c r="G1064" s="87">
        <v>6.05</v>
      </c>
      <c r="H1064" s="85"/>
      <c r="I1064" s="86">
        <v>134099.63</v>
      </c>
      <c r="J1064" s="185">
        <f t="shared" si="121"/>
        <v>25237.33</v>
      </c>
      <c r="K1064" s="189">
        <f t="shared" si="122"/>
        <v>152685.85</v>
      </c>
      <c r="L1064" s="189"/>
      <c r="M1064" s="138"/>
      <c r="N1064" s="138"/>
      <c r="O1064" s="138"/>
      <c r="S1064" s="72"/>
      <c r="T1064" s="72"/>
      <c r="U1064" s="72"/>
      <c r="V1064" s="72"/>
    </row>
    <row r="1065" spans="1:22" s="63" customFormat="1" ht="22.5" x14ac:dyDescent="0.25">
      <c r="A1065" s="87">
        <v>8.6999999999999993</v>
      </c>
      <c r="B1065" s="81" t="s">
        <v>50</v>
      </c>
      <c r="C1065" s="82">
        <v>32</v>
      </c>
      <c r="D1065" s="131" t="s">
        <v>1054</v>
      </c>
      <c r="E1065" s="83" t="s">
        <v>1055</v>
      </c>
      <c r="F1065" s="81" t="s">
        <v>354</v>
      </c>
      <c r="G1065" s="80">
        <v>0.1</v>
      </c>
      <c r="H1065" s="85"/>
      <c r="I1065" s="86">
        <v>3282.61</v>
      </c>
      <c r="J1065" s="185">
        <f t="shared" si="121"/>
        <v>37375.800000000003</v>
      </c>
      <c r="K1065" s="189">
        <f t="shared" si="122"/>
        <v>3737.58</v>
      </c>
      <c r="L1065" s="189"/>
      <c r="M1065" s="138"/>
      <c r="N1065" s="138"/>
      <c r="O1065" s="138"/>
      <c r="S1065" s="72"/>
      <c r="T1065" s="72"/>
      <c r="U1065" s="72"/>
      <c r="V1065" s="72"/>
    </row>
    <row r="1066" spans="1:22" s="63" customFormat="1" ht="22.5" x14ac:dyDescent="0.25">
      <c r="A1066" s="87">
        <v>8.7100000000000009</v>
      </c>
      <c r="B1066" s="81" t="s">
        <v>50</v>
      </c>
      <c r="C1066" s="82">
        <v>33</v>
      </c>
      <c r="D1066" s="131" t="s">
        <v>1056</v>
      </c>
      <c r="E1066" s="83" t="s">
        <v>1057</v>
      </c>
      <c r="F1066" s="81" t="s">
        <v>219</v>
      </c>
      <c r="G1066" s="82">
        <v>168</v>
      </c>
      <c r="H1066" s="85"/>
      <c r="I1066" s="86">
        <v>44003.4</v>
      </c>
      <c r="J1066" s="185">
        <f t="shared" si="121"/>
        <v>298.23</v>
      </c>
      <c r="K1066" s="189">
        <f t="shared" si="122"/>
        <v>50102.64</v>
      </c>
      <c r="L1066" s="189"/>
      <c r="M1066" s="138"/>
      <c r="N1066" s="138"/>
      <c r="O1066" s="138"/>
      <c r="S1066" s="72"/>
      <c r="T1066" s="72"/>
      <c r="U1066" s="72"/>
      <c r="V1066" s="72"/>
    </row>
    <row r="1067" spans="1:22" s="63" customFormat="1" ht="15" x14ac:dyDescent="0.25">
      <c r="A1067" s="87">
        <v>8.7200000000000006</v>
      </c>
      <c r="B1067" s="81" t="s">
        <v>50</v>
      </c>
      <c r="C1067" s="82">
        <v>34</v>
      </c>
      <c r="D1067" s="131" t="s">
        <v>1058</v>
      </c>
      <c r="E1067" s="83" t="s">
        <v>1059</v>
      </c>
      <c r="F1067" s="81" t="s">
        <v>216</v>
      </c>
      <c r="G1067" s="87">
        <v>1.66</v>
      </c>
      <c r="H1067" s="85"/>
      <c r="I1067" s="86">
        <v>15856.85</v>
      </c>
      <c r="J1067" s="185">
        <f t="shared" si="121"/>
        <v>10876.27</v>
      </c>
      <c r="K1067" s="189">
        <f t="shared" si="122"/>
        <v>18054.61</v>
      </c>
      <c r="L1067" s="189"/>
      <c r="M1067" s="138"/>
      <c r="N1067" s="138"/>
      <c r="O1067" s="138"/>
      <c r="S1067" s="72"/>
      <c r="T1067" s="72"/>
      <c r="U1067" s="72"/>
      <c r="V1067" s="72"/>
    </row>
    <row r="1068" spans="1:22" s="63" customFormat="1" ht="33.75" x14ac:dyDescent="0.25">
      <c r="A1068" s="87">
        <v>8.73</v>
      </c>
      <c r="B1068" s="81" t="s">
        <v>50</v>
      </c>
      <c r="C1068" s="80">
        <v>34.1</v>
      </c>
      <c r="D1068" s="131" t="s">
        <v>1060</v>
      </c>
      <c r="E1068" s="83" t="s">
        <v>3555</v>
      </c>
      <c r="F1068" s="81" t="s">
        <v>334</v>
      </c>
      <c r="G1068" s="80">
        <v>642.6</v>
      </c>
      <c r="H1068" s="85"/>
      <c r="I1068" s="86">
        <v>12099.62</v>
      </c>
      <c r="J1068" s="185">
        <f t="shared" si="121"/>
        <v>21.44</v>
      </c>
      <c r="K1068" s="189">
        <f t="shared" si="122"/>
        <v>13777.34</v>
      </c>
      <c r="L1068" s="189"/>
      <c r="M1068" s="138"/>
      <c r="N1068" s="138"/>
      <c r="O1068" s="138"/>
      <c r="S1068" s="72"/>
      <c r="T1068" s="72"/>
      <c r="U1068" s="72"/>
      <c r="V1068" s="72"/>
    </row>
    <row r="1069" spans="1:22" s="63" customFormat="1" ht="22.5" x14ac:dyDescent="0.25">
      <c r="A1069" s="87">
        <v>8.74</v>
      </c>
      <c r="B1069" s="81" t="s">
        <v>50</v>
      </c>
      <c r="C1069" s="80">
        <v>34.200000000000003</v>
      </c>
      <c r="D1069" s="131" t="s">
        <v>1061</v>
      </c>
      <c r="E1069" s="83" t="s">
        <v>3556</v>
      </c>
      <c r="F1069" s="81" t="s">
        <v>334</v>
      </c>
      <c r="G1069" s="80">
        <v>112.2</v>
      </c>
      <c r="H1069" s="85"/>
      <c r="I1069" s="86">
        <v>3258.25</v>
      </c>
      <c r="J1069" s="185">
        <f t="shared" si="121"/>
        <v>33.06</v>
      </c>
      <c r="K1069" s="189">
        <f t="shared" si="122"/>
        <v>3709.33</v>
      </c>
      <c r="L1069" s="189"/>
      <c r="M1069" s="138"/>
      <c r="N1069" s="138"/>
      <c r="O1069" s="138"/>
      <c r="S1069" s="72"/>
      <c r="T1069" s="72"/>
      <c r="U1069" s="72"/>
      <c r="V1069" s="72"/>
    </row>
    <row r="1070" spans="1:22" s="63" customFormat="1" ht="22.5" x14ac:dyDescent="0.25">
      <c r="A1070" s="87">
        <v>8.75</v>
      </c>
      <c r="B1070" s="81" t="s">
        <v>50</v>
      </c>
      <c r="C1070" s="80">
        <v>34.299999999999997</v>
      </c>
      <c r="D1070" s="131" t="s">
        <v>1062</v>
      </c>
      <c r="E1070" s="83" t="s">
        <v>3557</v>
      </c>
      <c r="F1070" s="81" t="s">
        <v>334</v>
      </c>
      <c r="G1070" s="87">
        <v>337.62</v>
      </c>
      <c r="H1070" s="85"/>
      <c r="I1070" s="86">
        <v>18627.13</v>
      </c>
      <c r="J1070" s="185">
        <f t="shared" si="121"/>
        <v>62.82</v>
      </c>
      <c r="K1070" s="189">
        <f t="shared" si="122"/>
        <v>21209.29</v>
      </c>
      <c r="L1070" s="189"/>
      <c r="M1070" s="138"/>
      <c r="N1070" s="138"/>
      <c r="O1070" s="138"/>
      <c r="S1070" s="72"/>
      <c r="T1070" s="72"/>
      <c r="U1070" s="72"/>
      <c r="V1070" s="72"/>
    </row>
    <row r="1071" spans="1:22" s="63" customFormat="1" ht="22.5" x14ac:dyDescent="0.25">
      <c r="A1071" s="87">
        <v>8.76</v>
      </c>
      <c r="B1071" s="81" t="s">
        <v>50</v>
      </c>
      <c r="C1071" s="80">
        <v>34.4</v>
      </c>
      <c r="D1071" s="131" t="s">
        <v>1063</v>
      </c>
      <c r="E1071" s="83" t="s">
        <v>3558</v>
      </c>
      <c r="F1071" s="81" t="s">
        <v>334</v>
      </c>
      <c r="G1071" s="82">
        <v>102</v>
      </c>
      <c r="H1071" s="85"/>
      <c r="I1071" s="86">
        <v>2061.0500000000002</v>
      </c>
      <c r="J1071" s="185">
        <f t="shared" si="121"/>
        <v>23.01</v>
      </c>
      <c r="K1071" s="189">
        <f t="shared" si="122"/>
        <v>2347.02</v>
      </c>
      <c r="L1071" s="189"/>
      <c r="M1071" s="138"/>
      <c r="N1071" s="138"/>
      <c r="O1071" s="138"/>
      <c r="S1071" s="72"/>
      <c r="T1071" s="72"/>
      <c r="U1071" s="72"/>
      <c r="V1071" s="72"/>
    </row>
    <row r="1072" spans="1:22" s="63" customFormat="1" ht="22.5" x14ac:dyDescent="0.25">
      <c r="A1072" s="87">
        <v>8.77</v>
      </c>
      <c r="B1072" s="81" t="s">
        <v>50</v>
      </c>
      <c r="C1072" s="80">
        <v>34.5</v>
      </c>
      <c r="D1072" s="131" t="s">
        <v>1064</v>
      </c>
      <c r="E1072" s="83" t="s">
        <v>3559</v>
      </c>
      <c r="F1072" s="81" t="s">
        <v>334</v>
      </c>
      <c r="G1072" s="82">
        <v>816</v>
      </c>
      <c r="H1072" s="85"/>
      <c r="I1072" s="86">
        <v>24303.759999999998</v>
      </c>
      <c r="J1072" s="185">
        <f t="shared" si="121"/>
        <v>33.909999999999997</v>
      </c>
      <c r="K1072" s="189">
        <f t="shared" si="122"/>
        <v>27670.560000000001</v>
      </c>
      <c r="L1072" s="189"/>
      <c r="M1072" s="138"/>
      <c r="N1072" s="138"/>
      <c r="O1072" s="138"/>
      <c r="S1072" s="72"/>
      <c r="T1072" s="72"/>
      <c r="U1072" s="72"/>
      <c r="V1072" s="72"/>
    </row>
    <row r="1073" spans="1:22" s="63" customFormat="1" ht="22.5" x14ac:dyDescent="0.25">
      <c r="A1073" s="87">
        <v>8.7799999999999994</v>
      </c>
      <c r="B1073" s="81" t="s">
        <v>50</v>
      </c>
      <c r="C1073" s="80">
        <v>34.6</v>
      </c>
      <c r="D1073" s="131" t="s">
        <v>1065</v>
      </c>
      <c r="E1073" s="83" t="s">
        <v>3560</v>
      </c>
      <c r="F1073" s="81" t="s">
        <v>334</v>
      </c>
      <c r="G1073" s="82">
        <v>1071</v>
      </c>
      <c r="H1073" s="85"/>
      <c r="I1073" s="86">
        <v>35645.65</v>
      </c>
      <c r="J1073" s="185">
        <f t="shared" si="121"/>
        <v>37.9</v>
      </c>
      <c r="K1073" s="189">
        <f t="shared" si="122"/>
        <v>40590.9</v>
      </c>
      <c r="L1073" s="189"/>
      <c r="M1073" s="138"/>
      <c r="N1073" s="138"/>
      <c r="O1073" s="138"/>
      <c r="S1073" s="72"/>
      <c r="T1073" s="72"/>
      <c r="U1073" s="72"/>
      <c r="V1073" s="72"/>
    </row>
    <row r="1074" spans="1:22" s="63" customFormat="1" ht="22.5" x14ac:dyDescent="0.25">
      <c r="A1074" s="87">
        <v>8.7899999999999991</v>
      </c>
      <c r="B1074" s="81" t="s">
        <v>50</v>
      </c>
      <c r="C1074" s="80">
        <v>34.700000000000003</v>
      </c>
      <c r="D1074" s="131" t="s">
        <v>1066</v>
      </c>
      <c r="E1074" s="83" t="s">
        <v>3561</v>
      </c>
      <c r="F1074" s="81" t="s">
        <v>219</v>
      </c>
      <c r="G1074" s="82">
        <v>1</v>
      </c>
      <c r="H1074" s="85"/>
      <c r="I1074" s="86">
        <v>216.41</v>
      </c>
      <c r="J1074" s="185">
        <f t="shared" si="121"/>
        <v>246.4</v>
      </c>
      <c r="K1074" s="189">
        <f t="shared" si="122"/>
        <v>246.4</v>
      </c>
      <c r="L1074" s="189"/>
      <c r="M1074" s="138"/>
      <c r="N1074" s="138"/>
      <c r="O1074" s="138"/>
      <c r="S1074" s="72"/>
      <c r="T1074" s="72"/>
      <c r="U1074" s="72"/>
      <c r="V1074" s="72"/>
    </row>
    <row r="1075" spans="1:22" s="63" customFormat="1" ht="22.5" x14ac:dyDescent="0.25">
      <c r="A1075" s="87">
        <v>8.8000000000000007</v>
      </c>
      <c r="B1075" s="81" t="s">
        <v>50</v>
      </c>
      <c r="C1075" s="80">
        <v>34.799999999999997</v>
      </c>
      <c r="D1075" s="131" t="s">
        <v>1067</v>
      </c>
      <c r="E1075" s="83" t="s">
        <v>3562</v>
      </c>
      <c r="F1075" s="81" t="s">
        <v>334</v>
      </c>
      <c r="G1075" s="80">
        <v>20.399999999999999</v>
      </c>
      <c r="H1075" s="85"/>
      <c r="I1075" s="86">
        <v>1362.72</v>
      </c>
      <c r="J1075" s="185">
        <f t="shared" si="121"/>
        <v>76.06</v>
      </c>
      <c r="K1075" s="189">
        <f t="shared" si="122"/>
        <v>1551.62</v>
      </c>
      <c r="L1075" s="189"/>
      <c r="M1075" s="138"/>
      <c r="N1075" s="138"/>
      <c r="O1075" s="138"/>
      <c r="S1075" s="72"/>
      <c r="T1075" s="72"/>
      <c r="U1075" s="72"/>
      <c r="V1075" s="72"/>
    </row>
    <row r="1076" spans="1:22" s="63" customFormat="1" ht="15" x14ac:dyDescent="0.25">
      <c r="A1076" s="194">
        <v>9</v>
      </c>
      <c r="B1076" s="418" t="s">
        <v>1068</v>
      </c>
      <c r="C1076" s="418"/>
      <c r="D1076" s="418"/>
      <c r="E1076" s="195" t="s">
        <v>52</v>
      </c>
      <c r="F1076" s="196"/>
      <c r="G1076" s="194">
        <v>1</v>
      </c>
      <c r="H1076" s="197">
        <v>7839500.1500000004</v>
      </c>
      <c r="I1076" s="355">
        <f>SUM(I1080:I1637)</f>
        <v>7839500.3000000091</v>
      </c>
      <c r="J1076" s="200"/>
      <c r="K1076" s="198">
        <f>SUM(K1080:K1637)</f>
        <v>8883153.8100000154</v>
      </c>
      <c r="L1076" s="198"/>
      <c r="M1076" s="207"/>
      <c r="N1076" s="209"/>
      <c r="O1076" s="138"/>
      <c r="S1076" s="72"/>
      <c r="T1076" s="72"/>
      <c r="U1076" s="72"/>
      <c r="V1076" s="72"/>
    </row>
    <row r="1077" spans="1:22" s="97" customFormat="1" ht="15" x14ac:dyDescent="0.25">
      <c r="A1077" s="91"/>
      <c r="B1077" s="92"/>
      <c r="C1077" s="92"/>
      <c r="D1077" s="166"/>
      <c r="E1077" s="93" t="s">
        <v>651</v>
      </c>
      <c r="F1077" s="94"/>
      <c r="G1077" s="91"/>
      <c r="H1077" s="95"/>
      <c r="I1077" s="96">
        <f>I1084+I1086+I1088+I1090+I1125+I1135+I1137+I1139+I1141+I1183+I1185+I1187+I1189+I1226+I1237+I1239+I1241+I1243+I1271+I1275+I1294+I1298+I1306+I1313+I1317+I1325+I1332+I1336+I1365+I1366+I1378+I1382+I1394+I1398+I1405+I1412+I1416+I1423+I1430+I1434+I1459+I1463+I1465+I1472+I1489+I1490+I1496+I1529+I1531+I1538+I1543+I1562+I1566+I1583+I1590+I1602+I1605+I1611+I1613+I1614+I1615+I1628+I1635</f>
        <v>2134330.0199999996</v>
      </c>
      <c r="J1077" s="191"/>
      <c r="K1077" s="96">
        <f>K1084+K1086+K1088+K1090+K1125+K1135+K1137+K1139+K1141+K1183+K1185+K1187+K1189+K1226+K1237+K1239+K1241+K1243+K1271+K1275+K1294+K1298+K1306+K1313+K1317+K1325+K1332+K1336+K1365+K1366+K1378+K1382+K1394+K1398+K1405+K1412+K1416+K1423+K1430+K1434+K1459+K1463+K1465+K1472+K1489+K1490+K1496+K1529+K1531+K1538+K1543+K1562+K1566+K1583+K1590+K1602+K1605+K1611+K1613+K1614+K1615+K1628+K1635</f>
        <v>2387248.1499999994</v>
      </c>
      <c r="L1077" s="96"/>
      <c r="M1077" s="207"/>
      <c r="N1077" s="209"/>
      <c r="O1077" s="184"/>
      <c r="S1077" s="100"/>
      <c r="T1077" s="100"/>
      <c r="U1077" s="100"/>
      <c r="V1077" s="100"/>
    </row>
    <row r="1078" spans="1:22" s="97" customFormat="1" ht="15" x14ac:dyDescent="0.25">
      <c r="A1078" s="216"/>
      <c r="B1078" s="217"/>
      <c r="C1078" s="217"/>
      <c r="D1078" s="248"/>
      <c r="E1078" s="218" t="s">
        <v>3289</v>
      </c>
      <c r="F1078" s="219"/>
      <c r="G1078" s="216"/>
      <c r="H1078" s="220"/>
      <c r="I1078" s="221"/>
      <c r="J1078" s="244"/>
      <c r="K1078" s="221"/>
      <c r="L1078" s="221"/>
      <c r="M1078" s="207"/>
      <c r="N1078" s="209"/>
      <c r="O1078" s="184"/>
      <c r="S1078" s="100"/>
      <c r="T1078" s="100"/>
      <c r="U1078" s="100"/>
      <c r="V1078" s="100"/>
    </row>
    <row r="1079" spans="1:22" s="97" customFormat="1" ht="15" x14ac:dyDescent="0.25">
      <c r="A1079" s="216"/>
      <c r="B1079" s="217"/>
      <c r="C1079" s="217"/>
      <c r="D1079" s="248"/>
      <c r="E1079" s="218" t="s">
        <v>3290</v>
      </c>
      <c r="F1079" s="219"/>
      <c r="G1079" s="216"/>
      <c r="H1079" s="220"/>
      <c r="I1079" s="221"/>
      <c r="J1079" s="244"/>
      <c r="K1079" s="221"/>
      <c r="L1079" s="221"/>
      <c r="M1079" s="207"/>
      <c r="N1079" s="209"/>
      <c r="O1079" s="184"/>
      <c r="S1079" s="100"/>
      <c r="T1079" s="100"/>
      <c r="U1079" s="100"/>
      <c r="V1079" s="100"/>
    </row>
    <row r="1080" spans="1:22" s="63" customFormat="1" ht="22.5" x14ac:dyDescent="0.25">
      <c r="A1080" s="80">
        <v>9.1</v>
      </c>
      <c r="B1080" s="81" t="s">
        <v>51</v>
      </c>
      <c r="C1080" s="82">
        <v>1</v>
      </c>
      <c r="D1080" s="131" t="s">
        <v>1069</v>
      </c>
      <c r="E1080" s="83" t="s">
        <v>1070</v>
      </c>
      <c r="F1080" s="81" t="s">
        <v>219</v>
      </c>
      <c r="G1080" s="82">
        <v>1</v>
      </c>
      <c r="H1080" s="85"/>
      <c r="I1080" s="86">
        <f>70740.42+0.11</f>
        <v>70740.53</v>
      </c>
      <c r="J1080" s="185">
        <f>ROUND($I1080/$G1080*$N$11,2)</f>
        <v>80545.17</v>
      </c>
      <c r="K1080" s="189">
        <f t="shared" ref="K1080:K1111" si="123">ROUND(G1080*J1080,2)</f>
        <v>80545.17</v>
      </c>
      <c r="L1080" s="189"/>
      <c r="M1080" s="138"/>
      <c r="N1080" s="138"/>
      <c r="O1080" s="138"/>
      <c r="S1080" s="72"/>
      <c r="T1080" s="72"/>
      <c r="U1080" s="72"/>
      <c r="V1080" s="72"/>
    </row>
    <row r="1081" spans="1:22" s="63" customFormat="1" ht="22.5" x14ac:dyDescent="0.25">
      <c r="A1081" s="80">
        <v>9.1999999999999993</v>
      </c>
      <c r="B1081" s="81" t="s">
        <v>51</v>
      </c>
      <c r="C1081" s="80">
        <v>1.1000000000000001</v>
      </c>
      <c r="D1081" s="131" t="s">
        <v>1071</v>
      </c>
      <c r="E1081" s="83" t="s">
        <v>1072</v>
      </c>
      <c r="F1081" s="81" t="s">
        <v>226</v>
      </c>
      <c r="G1081" s="89">
        <v>9.6000000000000002E-4</v>
      </c>
      <c r="H1081" s="85"/>
      <c r="I1081" s="86">
        <v>128.05000000000001</v>
      </c>
      <c r="J1081" s="185">
        <f>ROUND($I1081/$G1081*$N$11,2)</f>
        <v>151872.64000000001</v>
      </c>
      <c r="K1081" s="189">
        <f t="shared" si="123"/>
        <v>145.80000000000001</v>
      </c>
      <c r="L1081" s="189"/>
      <c r="M1081" s="138"/>
      <c r="N1081" s="138"/>
      <c r="O1081" s="138"/>
      <c r="S1081" s="72"/>
      <c r="T1081" s="72"/>
      <c r="U1081" s="72"/>
      <c r="V1081" s="72"/>
    </row>
    <row r="1082" spans="1:22" s="63" customFormat="1" ht="22.5" x14ac:dyDescent="0.25">
      <c r="A1082" s="80">
        <v>9.3000000000000007</v>
      </c>
      <c r="B1082" s="81" t="s">
        <v>51</v>
      </c>
      <c r="C1082" s="80">
        <v>1.2</v>
      </c>
      <c r="D1082" s="131" t="s">
        <v>1073</v>
      </c>
      <c r="E1082" s="83" t="s">
        <v>1074</v>
      </c>
      <c r="F1082" s="81" t="s">
        <v>210</v>
      </c>
      <c r="G1082" s="82">
        <v>1</v>
      </c>
      <c r="H1082" s="85"/>
      <c r="I1082" s="86">
        <v>181.68</v>
      </c>
      <c r="J1082" s="185">
        <f>ROUND($I1082/$G1082*$N$11,2)</f>
        <v>206.86</v>
      </c>
      <c r="K1082" s="189">
        <f t="shared" si="123"/>
        <v>206.86</v>
      </c>
      <c r="L1082" s="189"/>
      <c r="M1082" s="138"/>
      <c r="N1082" s="138"/>
      <c r="O1082" s="138"/>
      <c r="S1082" s="72"/>
      <c r="T1082" s="72"/>
      <c r="U1082" s="72"/>
      <c r="V1082" s="72"/>
    </row>
    <row r="1083" spans="1:22" s="63" customFormat="1" ht="22.5" x14ac:dyDescent="0.25">
      <c r="A1083" s="80">
        <v>9.4</v>
      </c>
      <c r="B1083" s="81" t="s">
        <v>51</v>
      </c>
      <c r="C1083" s="80">
        <v>1.3</v>
      </c>
      <c r="D1083" s="131" t="s">
        <v>1075</v>
      </c>
      <c r="E1083" s="83" t="s">
        <v>1076</v>
      </c>
      <c r="F1083" s="81" t="s">
        <v>205</v>
      </c>
      <c r="G1083" s="84">
        <v>8.9999999999999993E-3</v>
      </c>
      <c r="H1083" s="85"/>
      <c r="I1083" s="86">
        <v>62.43</v>
      </c>
      <c r="J1083" s="185">
        <f>ROUND($I1083/$G1083*$N$11,2)</f>
        <v>7898.09</v>
      </c>
      <c r="K1083" s="189">
        <f t="shared" si="123"/>
        <v>71.08</v>
      </c>
      <c r="L1083" s="189"/>
      <c r="M1083" s="138"/>
      <c r="N1083" s="138"/>
      <c r="O1083" s="138"/>
      <c r="S1083" s="72"/>
      <c r="T1083" s="72"/>
      <c r="U1083" s="72"/>
      <c r="V1083" s="72"/>
    </row>
    <row r="1084" spans="1:22" s="63" customFormat="1" ht="22.5" x14ac:dyDescent="0.25">
      <c r="A1084" s="103">
        <v>9.5</v>
      </c>
      <c r="B1084" s="102" t="s">
        <v>51</v>
      </c>
      <c r="C1084" s="103">
        <v>1.4</v>
      </c>
      <c r="D1084" s="167" t="s">
        <v>1077</v>
      </c>
      <c r="E1084" s="104" t="s">
        <v>3563</v>
      </c>
      <c r="F1084" s="102" t="s">
        <v>219</v>
      </c>
      <c r="G1084" s="105">
        <v>1</v>
      </c>
      <c r="H1084" s="106"/>
      <c r="I1084" s="107">
        <f>155572.55+0.04</f>
        <v>155572.59</v>
      </c>
      <c r="J1084" s="192">
        <f>ROUND($I1084/$G1084*$N$12,2)</f>
        <v>174007.94</v>
      </c>
      <c r="K1084" s="193">
        <f t="shared" si="123"/>
        <v>174007.94</v>
      </c>
      <c r="L1084" s="193"/>
      <c r="M1084" s="138"/>
      <c r="N1084" s="138"/>
      <c r="O1084" s="138"/>
      <c r="S1084" s="110"/>
      <c r="T1084" s="72"/>
      <c r="U1084" s="72"/>
      <c r="V1084" s="72"/>
    </row>
    <row r="1085" spans="1:22" s="63" customFormat="1" ht="22.5" x14ac:dyDescent="0.25">
      <c r="A1085" s="80">
        <v>9.6</v>
      </c>
      <c r="B1085" s="81" t="s">
        <v>51</v>
      </c>
      <c r="C1085" s="82">
        <v>2</v>
      </c>
      <c r="D1085" s="131" t="s">
        <v>783</v>
      </c>
      <c r="E1085" s="83" t="s">
        <v>1078</v>
      </c>
      <c r="F1085" s="81" t="s">
        <v>219</v>
      </c>
      <c r="G1085" s="82">
        <v>1</v>
      </c>
      <c r="H1085" s="85"/>
      <c r="I1085" s="86">
        <v>3276.2</v>
      </c>
      <c r="J1085" s="185">
        <f>ROUND($I1085/$G1085*$N$11,2)</f>
        <v>3730.28</v>
      </c>
      <c r="K1085" s="189">
        <f t="shared" si="123"/>
        <v>3730.28</v>
      </c>
      <c r="L1085" s="189"/>
      <c r="M1085" s="138"/>
      <c r="N1085" s="138"/>
      <c r="O1085" s="138"/>
      <c r="S1085" s="72"/>
      <c r="T1085" s="72"/>
      <c r="U1085" s="72"/>
      <c r="V1085" s="72"/>
    </row>
    <row r="1086" spans="1:22" s="63" customFormat="1" ht="15" x14ac:dyDescent="0.25">
      <c r="A1086" s="103">
        <v>9.6999999999999993</v>
      </c>
      <c r="B1086" s="102" t="s">
        <v>51</v>
      </c>
      <c r="C1086" s="103">
        <v>2.1</v>
      </c>
      <c r="D1086" s="167" t="s">
        <v>1079</v>
      </c>
      <c r="E1086" s="104" t="s">
        <v>3564</v>
      </c>
      <c r="F1086" s="102" t="s">
        <v>219</v>
      </c>
      <c r="G1086" s="105">
        <v>1</v>
      </c>
      <c r="H1086" s="106"/>
      <c r="I1086" s="107">
        <v>53459.03</v>
      </c>
      <c r="J1086" s="192">
        <f>ROUND($I1086/$G1086*$N$12,2)</f>
        <v>59793.93</v>
      </c>
      <c r="K1086" s="193">
        <f t="shared" si="123"/>
        <v>59793.93</v>
      </c>
      <c r="L1086" s="193"/>
      <c r="M1086" s="138"/>
      <c r="N1086" s="138"/>
      <c r="O1086" s="138"/>
      <c r="S1086" s="110"/>
      <c r="T1086" s="72"/>
      <c r="U1086" s="72"/>
      <c r="V1086" s="72"/>
    </row>
    <row r="1087" spans="1:22" s="63" customFormat="1" ht="33.75" x14ac:dyDescent="0.25">
      <c r="A1087" s="80">
        <v>9.8000000000000007</v>
      </c>
      <c r="B1087" s="81" t="s">
        <v>51</v>
      </c>
      <c r="C1087" s="82">
        <v>3</v>
      </c>
      <c r="D1087" s="131" t="s">
        <v>1080</v>
      </c>
      <c r="E1087" s="83" t="s">
        <v>1081</v>
      </c>
      <c r="F1087" s="81" t="s">
        <v>219</v>
      </c>
      <c r="G1087" s="82">
        <v>1</v>
      </c>
      <c r="H1087" s="85"/>
      <c r="I1087" s="86">
        <v>2167.71</v>
      </c>
      <c r="J1087" s="185">
        <f>ROUND($I1087/$G1087*$N$11,2)</f>
        <v>2468.15</v>
      </c>
      <c r="K1087" s="189">
        <f t="shared" si="123"/>
        <v>2468.15</v>
      </c>
      <c r="L1087" s="189"/>
      <c r="M1087" s="138"/>
      <c r="N1087" s="138"/>
      <c r="O1087" s="138"/>
      <c r="S1087" s="72"/>
      <c r="T1087" s="72"/>
      <c r="U1087" s="72"/>
      <c r="V1087" s="72"/>
    </row>
    <row r="1088" spans="1:22" s="63" customFormat="1" ht="22.5" x14ac:dyDescent="0.25">
      <c r="A1088" s="103">
        <v>9.9</v>
      </c>
      <c r="B1088" s="102" t="s">
        <v>51</v>
      </c>
      <c r="C1088" s="103">
        <v>3.1</v>
      </c>
      <c r="D1088" s="167" t="s">
        <v>1082</v>
      </c>
      <c r="E1088" s="104" t="s">
        <v>3565</v>
      </c>
      <c r="F1088" s="102" t="s">
        <v>219</v>
      </c>
      <c r="G1088" s="105">
        <v>1</v>
      </c>
      <c r="H1088" s="106"/>
      <c r="I1088" s="107">
        <v>29642.73</v>
      </c>
      <c r="J1088" s="192">
        <f>ROUND($I1088/$G1088*$N$12,2)</f>
        <v>33155.39</v>
      </c>
      <c r="K1088" s="193">
        <f t="shared" si="123"/>
        <v>33155.39</v>
      </c>
      <c r="L1088" s="193"/>
      <c r="M1088" s="138"/>
      <c r="N1088" s="138"/>
      <c r="O1088" s="138"/>
      <c r="S1088" s="110"/>
      <c r="T1088" s="72"/>
      <c r="U1088" s="72"/>
      <c r="V1088" s="72"/>
    </row>
    <row r="1089" spans="1:22" s="63" customFormat="1" ht="15" x14ac:dyDescent="0.25">
      <c r="A1089" s="87">
        <v>9.1</v>
      </c>
      <c r="B1089" s="81" t="s">
        <v>51</v>
      </c>
      <c r="C1089" s="82">
        <v>4</v>
      </c>
      <c r="D1089" s="131" t="s">
        <v>1083</v>
      </c>
      <c r="E1089" s="83" t="s">
        <v>1084</v>
      </c>
      <c r="F1089" s="81" t="s">
        <v>566</v>
      </c>
      <c r="G1089" s="80">
        <v>0.1</v>
      </c>
      <c r="H1089" s="85"/>
      <c r="I1089" s="86">
        <v>3190.9</v>
      </c>
      <c r="J1089" s="185">
        <f>ROUND($I1089/$G1089*$N$11,2)</f>
        <v>36331.589999999997</v>
      </c>
      <c r="K1089" s="189">
        <f t="shared" si="123"/>
        <v>3633.16</v>
      </c>
      <c r="L1089" s="189"/>
      <c r="M1089" s="138"/>
      <c r="N1089" s="138"/>
      <c r="O1089" s="138"/>
      <c r="S1089" s="72"/>
      <c r="T1089" s="72"/>
      <c r="U1089" s="72"/>
      <c r="V1089" s="72"/>
    </row>
    <row r="1090" spans="1:22" s="63" customFormat="1" ht="22.5" x14ac:dyDescent="0.25">
      <c r="A1090" s="101">
        <v>9.11</v>
      </c>
      <c r="B1090" s="102" t="s">
        <v>51</v>
      </c>
      <c r="C1090" s="103">
        <v>4.0999999999999996</v>
      </c>
      <c r="D1090" s="167" t="s">
        <v>1085</v>
      </c>
      <c r="E1090" s="104" t="s">
        <v>3566</v>
      </c>
      <c r="F1090" s="102" t="s">
        <v>219</v>
      </c>
      <c r="G1090" s="105">
        <v>1</v>
      </c>
      <c r="H1090" s="106"/>
      <c r="I1090" s="107">
        <v>62079.02</v>
      </c>
      <c r="J1090" s="192">
        <f>ROUND($I1090/$G1090*$N$12,2)</f>
        <v>69435.38</v>
      </c>
      <c r="K1090" s="193">
        <f t="shared" si="123"/>
        <v>69435.38</v>
      </c>
      <c r="L1090" s="193"/>
      <c r="M1090" s="138"/>
      <c r="N1090" s="138"/>
      <c r="O1090" s="138"/>
      <c r="S1090" s="110"/>
      <c r="T1090" s="72"/>
      <c r="U1090" s="72"/>
      <c r="V1090" s="72"/>
    </row>
    <row r="1091" spans="1:22" s="63" customFormat="1" ht="22.5" x14ac:dyDescent="0.25">
      <c r="A1091" s="87">
        <v>9.1199999999999992</v>
      </c>
      <c r="B1091" s="81" t="s">
        <v>51</v>
      </c>
      <c r="C1091" s="82">
        <v>5</v>
      </c>
      <c r="D1091" s="131" t="s">
        <v>1086</v>
      </c>
      <c r="E1091" s="83" t="s">
        <v>1087</v>
      </c>
      <c r="F1091" s="81" t="s">
        <v>207</v>
      </c>
      <c r="G1091" s="88">
        <v>6.1999999999999998E-3</v>
      </c>
      <c r="H1091" s="85"/>
      <c r="I1091" s="86">
        <v>1163.29</v>
      </c>
      <c r="J1091" s="185">
        <f t="shared" ref="J1091:J1124" si="124">ROUND($I1091/$G1091*$N$11,2)</f>
        <v>213632.58</v>
      </c>
      <c r="K1091" s="189">
        <f t="shared" si="123"/>
        <v>1324.52</v>
      </c>
      <c r="L1091" s="189"/>
      <c r="M1091" s="138"/>
      <c r="N1091" s="138"/>
      <c r="O1091" s="138"/>
      <c r="S1091" s="72"/>
      <c r="T1091" s="72"/>
      <c r="U1091" s="72"/>
      <c r="V1091" s="72"/>
    </row>
    <row r="1092" spans="1:22" s="63" customFormat="1" ht="22.5" x14ac:dyDescent="0.25">
      <c r="A1092" s="87">
        <v>9.1300000000000008</v>
      </c>
      <c r="B1092" s="81" t="s">
        <v>51</v>
      </c>
      <c r="C1092" s="80">
        <v>5.0999999999999996</v>
      </c>
      <c r="D1092" s="131" t="s">
        <v>1088</v>
      </c>
      <c r="E1092" s="83" t="s">
        <v>1089</v>
      </c>
      <c r="F1092" s="81" t="s">
        <v>370</v>
      </c>
      <c r="G1092" s="87">
        <v>0.62</v>
      </c>
      <c r="H1092" s="85"/>
      <c r="I1092" s="86">
        <v>563.79</v>
      </c>
      <c r="J1092" s="185">
        <f t="shared" si="124"/>
        <v>1035.3699999999999</v>
      </c>
      <c r="K1092" s="189">
        <f t="shared" si="123"/>
        <v>641.92999999999995</v>
      </c>
      <c r="L1092" s="189"/>
      <c r="M1092" s="138"/>
      <c r="N1092" s="138"/>
      <c r="O1092" s="138"/>
      <c r="S1092" s="72"/>
      <c r="T1092" s="72"/>
      <c r="U1092" s="72"/>
      <c r="V1092" s="72"/>
    </row>
    <row r="1093" spans="1:22" s="63" customFormat="1" ht="22.5" x14ac:dyDescent="0.25">
      <c r="A1093" s="87">
        <v>9.14</v>
      </c>
      <c r="B1093" s="81" t="s">
        <v>51</v>
      </c>
      <c r="C1093" s="82">
        <v>6</v>
      </c>
      <c r="D1093" s="131" t="s">
        <v>1090</v>
      </c>
      <c r="E1093" s="83" t="s">
        <v>1091</v>
      </c>
      <c r="F1093" s="81" t="s">
        <v>207</v>
      </c>
      <c r="G1093" s="84">
        <v>5.0999999999999997E-2</v>
      </c>
      <c r="H1093" s="85"/>
      <c r="I1093" s="86">
        <v>7587.95</v>
      </c>
      <c r="J1093" s="185">
        <f t="shared" si="124"/>
        <v>169404.7</v>
      </c>
      <c r="K1093" s="189">
        <f t="shared" si="123"/>
        <v>8639.64</v>
      </c>
      <c r="L1093" s="189"/>
      <c r="M1093" s="138"/>
      <c r="N1093" s="138"/>
      <c r="O1093" s="138"/>
      <c r="S1093" s="72"/>
      <c r="T1093" s="72"/>
      <c r="U1093" s="72"/>
      <c r="V1093" s="72"/>
    </row>
    <row r="1094" spans="1:22" s="63" customFormat="1" ht="22.5" x14ac:dyDescent="0.25">
      <c r="A1094" s="87">
        <v>9.15</v>
      </c>
      <c r="B1094" s="81" t="s">
        <v>51</v>
      </c>
      <c r="C1094" s="80">
        <v>6.1</v>
      </c>
      <c r="D1094" s="131" t="s">
        <v>1092</v>
      </c>
      <c r="E1094" s="83" t="s">
        <v>1093</v>
      </c>
      <c r="F1094" s="81" t="s">
        <v>370</v>
      </c>
      <c r="G1094" s="80">
        <v>3.5</v>
      </c>
      <c r="H1094" s="85"/>
      <c r="I1094" s="86">
        <v>4582.4399999999996</v>
      </c>
      <c r="J1094" s="185">
        <f t="shared" si="124"/>
        <v>1490.73</v>
      </c>
      <c r="K1094" s="189">
        <f t="shared" si="123"/>
        <v>5217.5600000000004</v>
      </c>
      <c r="L1094" s="189"/>
      <c r="M1094" s="138"/>
      <c r="N1094" s="138"/>
      <c r="O1094" s="138"/>
      <c r="S1094" s="72"/>
      <c r="T1094" s="72"/>
      <c r="U1094" s="72"/>
      <c r="V1094" s="72"/>
    </row>
    <row r="1095" spans="1:22" s="63" customFormat="1" ht="22.5" x14ac:dyDescent="0.25">
      <c r="A1095" s="87">
        <v>9.16</v>
      </c>
      <c r="B1095" s="81" t="s">
        <v>51</v>
      </c>
      <c r="C1095" s="80">
        <v>6.2</v>
      </c>
      <c r="D1095" s="131" t="s">
        <v>1094</v>
      </c>
      <c r="E1095" s="83" t="s">
        <v>1095</v>
      </c>
      <c r="F1095" s="81" t="s">
        <v>370</v>
      </c>
      <c r="G1095" s="80">
        <v>1.6</v>
      </c>
      <c r="H1095" s="85"/>
      <c r="I1095" s="86">
        <v>2061.7600000000002</v>
      </c>
      <c r="J1095" s="185">
        <f t="shared" si="124"/>
        <v>1467.2</v>
      </c>
      <c r="K1095" s="189">
        <f t="shared" si="123"/>
        <v>2347.52</v>
      </c>
      <c r="L1095" s="189"/>
      <c r="M1095" s="138"/>
      <c r="N1095" s="138"/>
      <c r="O1095" s="138"/>
      <c r="S1095" s="72"/>
      <c r="T1095" s="72"/>
      <c r="U1095" s="72"/>
      <c r="V1095" s="72"/>
    </row>
    <row r="1096" spans="1:22" s="63" customFormat="1" ht="33.75" x14ac:dyDescent="0.25">
      <c r="A1096" s="87">
        <v>9.17</v>
      </c>
      <c r="B1096" s="81" t="s">
        <v>51</v>
      </c>
      <c r="C1096" s="82">
        <v>7</v>
      </c>
      <c r="D1096" s="131" t="s">
        <v>1096</v>
      </c>
      <c r="E1096" s="83" t="s">
        <v>1097</v>
      </c>
      <c r="F1096" s="81" t="s">
        <v>207</v>
      </c>
      <c r="G1096" s="88">
        <v>0.8286</v>
      </c>
      <c r="H1096" s="85"/>
      <c r="I1096" s="86">
        <v>93926.56</v>
      </c>
      <c r="J1096" s="185">
        <f t="shared" si="124"/>
        <v>129066.84</v>
      </c>
      <c r="K1096" s="189">
        <f t="shared" si="123"/>
        <v>106944.78</v>
      </c>
      <c r="L1096" s="189"/>
      <c r="M1096" s="138"/>
      <c r="N1096" s="138"/>
      <c r="O1096" s="138"/>
      <c r="S1096" s="72"/>
      <c r="T1096" s="72"/>
      <c r="U1096" s="72"/>
      <c r="V1096" s="72"/>
    </row>
    <row r="1097" spans="1:22" s="63" customFormat="1" ht="22.5" x14ac:dyDescent="0.25">
      <c r="A1097" s="87">
        <v>9.18</v>
      </c>
      <c r="B1097" s="81" t="s">
        <v>51</v>
      </c>
      <c r="C1097" s="80">
        <v>7.1</v>
      </c>
      <c r="D1097" s="131" t="s">
        <v>1098</v>
      </c>
      <c r="E1097" s="83" t="s">
        <v>1099</v>
      </c>
      <c r="F1097" s="81" t="s">
        <v>370</v>
      </c>
      <c r="G1097" s="87">
        <v>1.87</v>
      </c>
      <c r="H1097" s="85"/>
      <c r="I1097" s="86">
        <v>2398.04</v>
      </c>
      <c r="J1097" s="185">
        <f t="shared" si="124"/>
        <v>1460.11</v>
      </c>
      <c r="K1097" s="189">
        <f t="shared" si="123"/>
        <v>2730.41</v>
      </c>
      <c r="L1097" s="189"/>
      <c r="M1097" s="138"/>
      <c r="N1097" s="138"/>
      <c r="O1097" s="138"/>
      <c r="S1097" s="72"/>
      <c r="T1097" s="72"/>
      <c r="U1097" s="72"/>
      <c r="V1097" s="72"/>
    </row>
    <row r="1098" spans="1:22" s="63" customFormat="1" ht="22.5" x14ac:dyDescent="0.25">
      <c r="A1098" s="87">
        <v>9.19</v>
      </c>
      <c r="B1098" s="81" t="s">
        <v>51</v>
      </c>
      <c r="C1098" s="80">
        <v>7.2</v>
      </c>
      <c r="D1098" s="131" t="s">
        <v>1100</v>
      </c>
      <c r="E1098" s="83" t="s">
        <v>1101</v>
      </c>
      <c r="F1098" s="81" t="s">
        <v>370</v>
      </c>
      <c r="G1098" s="80">
        <v>4.5</v>
      </c>
      <c r="H1098" s="85"/>
      <c r="I1098" s="86">
        <v>5751.49</v>
      </c>
      <c r="J1098" s="185">
        <f t="shared" si="124"/>
        <v>1455.25</v>
      </c>
      <c r="K1098" s="189">
        <f t="shared" si="123"/>
        <v>6548.63</v>
      </c>
      <c r="L1098" s="189"/>
      <c r="M1098" s="138"/>
      <c r="N1098" s="138"/>
      <c r="O1098" s="138"/>
      <c r="S1098" s="72"/>
      <c r="T1098" s="72"/>
      <c r="U1098" s="72"/>
      <c r="V1098" s="72"/>
    </row>
    <row r="1099" spans="1:22" s="63" customFormat="1" ht="22.5" x14ac:dyDescent="0.25">
      <c r="A1099" s="87">
        <v>9.1999999999999993</v>
      </c>
      <c r="B1099" s="81" t="s">
        <v>51</v>
      </c>
      <c r="C1099" s="80">
        <v>7.3</v>
      </c>
      <c r="D1099" s="131" t="s">
        <v>1102</v>
      </c>
      <c r="E1099" s="83" t="s">
        <v>1103</v>
      </c>
      <c r="F1099" s="81" t="s">
        <v>370</v>
      </c>
      <c r="G1099" s="82">
        <v>3</v>
      </c>
      <c r="H1099" s="85"/>
      <c r="I1099" s="86">
        <v>4150.78</v>
      </c>
      <c r="J1099" s="185">
        <f t="shared" si="124"/>
        <v>1575.36</v>
      </c>
      <c r="K1099" s="189">
        <f t="shared" si="123"/>
        <v>4726.08</v>
      </c>
      <c r="L1099" s="189"/>
      <c r="M1099" s="138"/>
      <c r="N1099" s="138"/>
      <c r="O1099" s="138"/>
      <c r="S1099" s="72"/>
      <c r="T1099" s="72"/>
      <c r="U1099" s="72"/>
      <c r="V1099" s="72"/>
    </row>
    <row r="1100" spans="1:22" s="63" customFormat="1" ht="22.5" x14ac:dyDescent="0.25">
      <c r="A1100" s="87">
        <v>9.2100000000000009</v>
      </c>
      <c r="B1100" s="81" t="s">
        <v>51</v>
      </c>
      <c r="C1100" s="80">
        <v>7.4</v>
      </c>
      <c r="D1100" s="131" t="s">
        <v>1104</v>
      </c>
      <c r="E1100" s="83" t="s">
        <v>1105</v>
      </c>
      <c r="F1100" s="81" t="s">
        <v>370</v>
      </c>
      <c r="G1100" s="80">
        <v>3.8</v>
      </c>
      <c r="H1100" s="85"/>
      <c r="I1100" s="86">
        <v>3681.12</v>
      </c>
      <c r="J1100" s="185">
        <f t="shared" si="124"/>
        <v>1102.98</v>
      </c>
      <c r="K1100" s="189">
        <f t="shared" si="123"/>
        <v>4191.32</v>
      </c>
      <c r="L1100" s="189"/>
      <c r="M1100" s="138"/>
      <c r="N1100" s="138"/>
      <c r="O1100" s="138"/>
      <c r="S1100" s="72"/>
      <c r="T1100" s="72"/>
      <c r="U1100" s="72"/>
      <c r="V1100" s="72"/>
    </row>
    <row r="1101" spans="1:22" s="63" customFormat="1" ht="22.5" x14ac:dyDescent="0.25">
      <c r="A1101" s="87">
        <v>9.2200000000000006</v>
      </c>
      <c r="B1101" s="81" t="s">
        <v>51</v>
      </c>
      <c r="C1101" s="80">
        <v>7.5</v>
      </c>
      <c r="D1101" s="131" t="s">
        <v>1106</v>
      </c>
      <c r="E1101" s="83" t="s">
        <v>1107</v>
      </c>
      <c r="F1101" s="81" t="s">
        <v>370</v>
      </c>
      <c r="G1101" s="87">
        <v>9.24</v>
      </c>
      <c r="H1101" s="85"/>
      <c r="I1101" s="86">
        <v>12701.51</v>
      </c>
      <c r="J1101" s="185">
        <f t="shared" si="124"/>
        <v>1565.14</v>
      </c>
      <c r="K1101" s="189">
        <f t="shared" si="123"/>
        <v>14461.89</v>
      </c>
      <c r="L1101" s="189"/>
      <c r="M1101" s="138"/>
      <c r="N1101" s="138"/>
      <c r="O1101" s="138"/>
      <c r="S1101" s="72"/>
      <c r="T1101" s="72"/>
      <c r="U1101" s="72"/>
      <c r="V1101" s="72"/>
    </row>
    <row r="1102" spans="1:22" s="63" customFormat="1" ht="33.75" x14ac:dyDescent="0.25">
      <c r="A1102" s="87">
        <v>9.23</v>
      </c>
      <c r="B1102" s="81" t="s">
        <v>51</v>
      </c>
      <c r="C1102" s="80">
        <v>7.6</v>
      </c>
      <c r="D1102" s="131" t="s">
        <v>1108</v>
      </c>
      <c r="E1102" s="83" t="s">
        <v>3567</v>
      </c>
      <c r="F1102" s="81" t="s">
        <v>370</v>
      </c>
      <c r="G1102" s="87">
        <v>69.69</v>
      </c>
      <c r="H1102" s="85"/>
      <c r="I1102" s="86">
        <v>88065</v>
      </c>
      <c r="J1102" s="185">
        <f t="shared" si="124"/>
        <v>1438.81</v>
      </c>
      <c r="K1102" s="189">
        <f t="shared" si="123"/>
        <v>100270.67</v>
      </c>
      <c r="L1102" s="189"/>
      <c r="M1102" s="138"/>
      <c r="N1102" s="138"/>
      <c r="O1102" s="138"/>
      <c r="S1102" s="72"/>
      <c r="T1102" s="72"/>
      <c r="U1102" s="72"/>
      <c r="V1102" s="72"/>
    </row>
    <row r="1103" spans="1:22" s="63" customFormat="1" ht="33.75" x14ac:dyDescent="0.25">
      <c r="A1103" s="87">
        <v>9.24</v>
      </c>
      <c r="B1103" s="81" t="s">
        <v>51</v>
      </c>
      <c r="C1103" s="82">
        <v>8</v>
      </c>
      <c r="D1103" s="131" t="s">
        <v>1109</v>
      </c>
      <c r="E1103" s="83" t="s">
        <v>1110</v>
      </c>
      <c r="F1103" s="81" t="s">
        <v>207</v>
      </c>
      <c r="G1103" s="84">
        <v>1.7999999999999999E-2</v>
      </c>
      <c r="H1103" s="85"/>
      <c r="I1103" s="86">
        <v>1553.18</v>
      </c>
      <c r="J1103" s="185">
        <f t="shared" si="124"/>
        <v>98247.26</v>
      </c>
      <c r="K1103" s="189">
        <f t="shared" si="123"/>
        <v>1768.45</v>
      </c>
      <c r="L1103" s="189"/>
      <c r="M1103" s="138"/>
      <c r="N1103" s="138"/>
      <c r="O1103" s="138"/>
      <c r="S1103" s="72"/>
      <c r="T1103" s="72"/>
      <c r="U1103" s="72"/>
      <c r="V1103" s="72"/>
    </row>
    <row r="1104" spans="1:22" s="63" customFormat="1" ht="33.75" x14ac:dyDescent="0.25">
      <c r="A1104" s="87">
        <v>9.25</v>
      </c>
      <c r="B1104" s="81" t="s">
        <v>51</v>
      </c>
      <c r="C1104" s="80">
        <v>8.1</v>
      </c>
      <c r="D1104" s="131" t="s">
        <v>1108</v>
      </c>
      <c r="E1104" s="83" t="s">
        <v>3568</v>
      </c>
      <c r="F1104" s="81" t="s">
        <v>370</v>
      </c>
      <c r="G1104" s="80">
        <v>1.8</v>
      </c>
      <c r="H1104" s="85"/>
      <c r="I1104" s="86">
        <v>2274.61</v>
      </c>
      <c r="J1104" s="185">
        <f t="shared" si="124"/>
        <v>1438.82</v>
      </c>
      <c r="K1104" s="189">
        <f t="shared" si="123"/>
        <v>2589.88</v>
      </c>
      <c r="L1104" s="189"/>
      <c r="M1104" s="138"/>
      <c r="N1104" s="138"/>
      <c r="O1104" s="138"/>
      <c r="S1104" s="72"/>
      <c r="T1104" s="72"/>
      <c r="U1104" s="72"/>
      <c r="V1104" s="72"/>
    </row>
    <row r="1105" spans="1:22" s="63" customFormat="1" ht="22.5" x14ac:dyDescent="0.25">
      <c r="A1105" s="87">
        <v>9.26</v>
      </c>
      <c r="B1105" s="81" t="s">
        <v>51</v>
      </c>
      <c r="C1105" s="82">
        <v>9</v>
      </c>
      <c r="D1105" s="131" t="s">
        <v>1111</v>
      </c>
      <c r="E1105" s="83" t="s">
        <v>1112</v>
      </c>
      <c r="F1105" s="81" t="s">
        <v>207</v>
      </c>
      <c r="G1105" s="88">
        <v>1.9699999999999999E-2</v>
      </c>
      <c r="H1105" s="85"/>
      <c r="I1105" s="86">
        <v>3695.62</v>
      </c>
      <c r="J1105" s="185">
        <f t="shared" si="124"/>
        <v>213595.58</v>
      </c>
      <c r="K1105" s="189">
        <f t="shared" si="123"/>
        <v>4207.83</v>
      </c>
      <c r="L1105" s="189"/>
      <c r="M1105" s="138"/>
      <c r="N1105" s="138"/>
      <c r="O1105" s="138"/>
      <c r="S1105" s="72"/>
      <c r="T1105" s="72"/>
      <c r="U1105" s="72"/>
      <c r="V1105" s="72"/>
    </row>
    <row r="1106" spans="1:22" s="63" customFormat="1" ht="22.5" x14ac:dyDescent="0.25">
      <c r="A1106" s="87">
        <v>9.27</v>
      </c>
      <c r="B1106" s="81" t="s">
        <v>51</v>
      </c>
      <c r="C1106" s="80">
        <v>9.1</v>
      </c>
      <c r="D1106" s="131" t="s">
        <v>1113</v>
      </c>
      <c r="E1106" s="83" t="s">
        <v>1114</v>
      </c>
      <c r="F1106" s="81" t="s">
        <v>370</v>
      </c>
      <c r="G1106" s="87">
        <v>1.18</v>
      </c>
      <c r="H1106" s="85"/>
      <c r="I1106" s="86">
        <v>979.91</v>
      </c>
      <c r="J1106" s="185">
        <f t="shared" si="124"/>
        <v>945.53</v>
      </c>
      <c r="K1106" s="189">
        <f t="shared" si="123"/>
        <v>1115.73</v>
      </c>
      <c r="L1106" s="189"/>
      <c r="M1106" s="138"/>
      <c r="N1106" s="138"/>
      <c r="O1106" s="138"/>
      <c r="S1106" s="72"/>
      <c r="T1106" s="72"/>
      <c r="U1106" s="72"/>
      <c r="V1106" s="72"/>
    </row>
    <row r="1107" spans="1:22" s="63" customFormat="1" ht="22.5" x14ac:dyDescent="0.25">
      <c r="A1107" s="87">
        <v>9.2799999999999994</v>
      </c>
      <c r="B1107" s="81" t="s">
        <v>51</v>
      </c>
      <c r="C1107" s="80">
        <v>9.1999999999999993</v>
      </c>
      <c r="D1107" s="131" t="s">
        <v>1115</v>
      </c>
      <c r="E1107" s="83" t="s">
        <v>3569</v>
      </c>
      <c r="F1107" s="81" t="s">
        <v>334</v>
      </c>
      <c r="G1107" s="82">
        <v>1</v>
      </c>
      <c r="H1107" s="85"/>
      <c r="I1107" s="86">
        <v>328.65</v>
      </c>
      <c r="J1107" s="185">
        <f t="shared" si="124"/>
        <v>374.2</v>
      </c>
      <c r="K1107" s="189">
        <f t="shared" si="123"/>
        <v>374.2</v>
      </c>
      <c r="L1107" s="189"/>
      <c r="M1107" s="138"/>
      <c r="N1107" s="138"/>
      <c r="O1107" s="138"/>
      <c r="S1107" s="72"/>
      <c r="T1107" s="72"/>
      <c r="U1107" s="72"/>
      <c r="V1107" s="72"/>
    </row>
    <row r="1108" spans="1:22" s="63" customFormat="1" ht="33.75" x14ac:dyDescent="0.25">
      <c r="A1108" s="87">
        <v>9.2899999999999991</v>
      </c>
      <c r="B1108" s="81" t="s">
        <v>51</v>
      </c>
      <c r="C1108" s="80">
        <v>9.3000000000000007</v>
      </c>
      <c r="D1108" s="131" t="s">
        <v>1116</v>
      </c>
      <c r="E1108" s="83" t="s">
        <v>1117</v>
      </c>
      <c r="F1108" s="81" t="s">
        <v>226</v>
      </c>
      <c r="G1108" s="84">
        <v>3.7999999999999999E-2</v>
      </c>
      <c r="H1108" s="85"/>
      <c r="I1108" s="86">
        <v>4277.67</v>
      </c>
      <c r="J1108" s="185">
        <f t="shared" si="124"/>
        <v>128172.5</v>
      </c>
      <c r="K1108" s="189">
        <f t="shared" si="123"/>
        <v>4870.5600000000004</v>
      </c>
      <c r="L1108" s="189"/>
      <c r="M1108" s="138"/>
      <c r="N1108" s="138"/>
      <c r="O1108" s="138"/>
      <c r="S1108" s="72"/>
      <c r="T1108" s="72"/>
      <c r="U1108" s="72"/>
      <c r="V1108" s="72"/>
    </row>
    <row r="1109" spans="1:22" s="63" customFormat="1" ht="22.5" x14ac:dyDescent="0.25">
      <c r="A1109" s="87">
        <v>9.3000000000000007</v>
      </c>
      <c r="B1109" s="81" t="s">
        <v>51</v>
      </c>
      <c r="C1109" s="82">
        <v>10</v>
      </c>
      <c r="D1109" s="131" t="s">
        <v>1118</v>
      </c>
      <c r="E1109" s="83" t="s">
        <v>1119</v>
      </c>
      <c r="F1109" s="81" t="s">
        <v>219</v>
      </c>
      <c r="G1109" s="82">
        <v>8</v>
      </c>
      <c r="H1109" s="85"/>
      <c r="I1109" s="86">
        <v>20010.400000000001</v>
      </c>
      <c r="J1109" s="185">
        <f t="shared" si="124"/>
        <v>2847.98</v>
      </c>
      <c r="K1109" s="189">
        <f t="shared" si="123"/>
        <v>22783.84</v>
      </c>
      <c r="L1109" s="189"/>
      <c r="M1109" s="138"/>
      <c r="N1109" s="138"/>
      <c r="O1109" s="138"/>
      <c r="S1109" s="72"/>
      <c r="T1109" s="72"/>
      <c r="U1109" s="72"/>
      <c r="V1109" s="72"/>
    </row>
    <row r="1110" spans="1:22" s="63" customFormat="1" ht="22.5" x14ac:dyDescent="0.25">
      <c r="A1110" s="87">
        <v>9.31</v>
      </c>
      <c r="B1110" s="81" t="s">
        <v>51</v>
      </c>
      <c r="C1110" s="80">
        <v>10.1</v>
      </c>
      <c r="D1110" s="131" t="s">
        <v>1120</v>
      </c>
      <c r="E1110" s="83" t="s">
        <v>1121</v>
      </c>
      <c r="F1110" s="81" t="s">
        <v>219</v>
      </c>
      <c r="G1110" s="82">
        <v>7</v>
      </c>
      <c r="H1110" s="85"/>
      <c r="I1110" s="86">
        <v>7912.35</v>
      </c>
      <c r="J1110" s="185">
        <f t="shared" si="124"/>
        <v>1287</v>
      </c>
      <c r="K1110" s="189">
        <f t="shared" si="123"/>
        <v>9009</v>
      </c>
      <c r="L1110" s="189"/>
      <c r="M1110" s="138"/>
      <c r="N1110" s="138"/>
      <c r="O1110" s="138"/>
      <c r="S1110" s="72"/>
      <c r="T1110" s="72"/>
      <c r="U1110" s="72"/>
      <c r="V1110" s="72"/>
    </row>
    <row r="1111" spans="1:22" s="63" customFormat="1" ht="22.5" x14ac:dyDescent="0.25">
      <c r="A1111" s="87">
        <v>9.32</v>
      </c>
      <c r="B1111" s="81" t="s">
        <v>51</v>
      </c>
      <c r="C1111" s="80">
        <v>10.199999999999999</v>
      </c>
      <c r="D1111" s="131" t="s">
        <v>1122</v>
      </c>
      <c r="E1111" s="83" t="s">
        <v>1123</v>
      </c>
      <c r="F1111" s="81" t="s">
        <v>219</v>
      </c>
      <c r="G1111" s="82">
        <v>1</v>
      </c>
      <c r="H1111" s="85"/>
      <c r="I1111" s="86">
        <v>1914</v>
      </c>
      <c r="J1111" s="185">
        <f t="shared" si="124"/>
        <v>2179.2800000000002</v>
      </c>
      <c r="K1111" s="189">
        <f t="shared" si="123"/>
        <v>2179.2800000000002</v>
      </c>
      <c r="L1111" s="189"/>
      <c r="M1111" s="138"/>
      <c r="N1111" s="138"/>
      <c r="O1111" s="138"/>
      <c r="S1111" s="72"/>
      <c r="T1111" s="72"/>
      <c r="U1111" s="72"/>
      <c r="V1111" s="72"/>
    </row>
    <row r="1112" spans="1:22" s="63" customFormat="1" ht="15" x14ac:dyDescent="0.25">
      <c r="A1112" s="87">
        <v>9.33</v>
      </c>
      <c r="B1112" s="81" t="s">
        <v>51</v>
      </c>
      <c r="C1112" s="82">
        <v>11</v>
      </c>
      <c r="D1112" s="131" t="s">
        <v>1124</v>
      </c>
      <c r="E1112" s="83" t="s">
        <v>1125</v>
      </c>
      <c r="F1112" s="81" t="s">
        <v>219</v>
      </c>
      <c r="G1112" s="82">
        <v>1</v>
      </c>
      <c r="H1112" s="85"/>
      <c r="I1112" s="86">
        <v>8009.28</v>
      </c>
      <c r="J1112" s="185">
        <f t="shared" si="124"/>
        <v>9119.3700000000008</v>
      </c>
      <c r="K1112" s="189">
        <f t="shared" ref="K1112:K1129" si="125">ROUND(G1112*J1112,2)</f>
        <v>9119.3700000000008</v>
      </c>
      <c r="L1112" s="189"/>
      <c r="M1112" s="138"/>
      <c r="N1112" s="138"/>
      <c r="O1112" s="138"/>
      <c r="S1112" s="72"/>
      <c r="T1112" s="72"/>
      <c r="U1112" s="72"/>
      <c r="V1112" s="72"/>
    </row>
    <row r="1113" spans="1:22" s="63" customFormat="1" ht="22.5" x14ac:dyDescent="0.25">
      <c r="A1113" s="87">
        <v>9.34</v>
      </c>
      <c r="B1113" s="81" t="s">
        <v>51</v>
      </c>
      <c r="C1113" s="80">
        <v>11.1</v>
      </c>
      <c r="D1113" s="131" t="s">
        <v>1071</v>
      </c>
      <c r="E1113" s="83" t="s">
        <v>1072</v>
      </c>
      <c r="F1113" s="81" t="s">
        <v>226</v>
      </c>
      <c r="G1113" s="89">
        <v>1.5399999999999999E-3</v>
      </c>
      <c r="H1113" s="85"/>
      <c r="I1113" s="86">
        <v>205.39</v>
      </c>
      <c r="J1113" s="185">
        <f t="shared" si="124"/>
        <v>151855.23000000001</v>
      </c>
      <c r="K1113" s="189">
        <f t="shared" si="125"/>
        <v>233.86</v>
      </c>
      <c r="L1113" s="189"/>
      <c r="M1113" s="138"/>
      <c r="N1113" s="138"/>
      <c r="O1113" s="138"/>
      <c r="S1113" s="72"/>
      <c r="T1113" s="72"/>
      <c r="U1113" s="72"/>
      <c r="V1113" s="72"/>
    </row>
    <row r="1114" spans="1:22" s="63" customFormat="1" ht="22.5" x14ac:dyDescent="0.25">
      <c r="A1114" s="87">
        <v>9.35</v>
      </c>
      <c r="B1114" s="81" t="s">
        <v>51</v>
      </c>
      <c r="C1114" s="80">
        <v>11.2</v>
      </c>
      <c r="D1114" s="131" t="s">
        <v>1126</v>
      </c>
      <c r="E1114" s="83" t="s">
        <v>3570</v>
      </c>
      <c r="F1114" s="81" t="s">
        <v>219</v>
      </c>
      <c r="G1114" s="82">
        <v>1</v>
      </c>
      <c r="H1114" s="85"/>
      <c r="I1114" s="86">
        <v>2180.5700000000002</v>
      </c>
      <c r="J1114" s="185">
        <f t="shared" si="124"/>
        <v>2482.8000000000002</v>
      </c>
      <c r="K1114" s="189">
        <f t="shared" si="125"/>
        <v>2482.8000000000002</v>
      </c>
      <c r="L1114" s="189"/>
      <c r="M1114" s="138"/>
      <c r="N1114" s="138"/>
      <c r="O1114" s="138"/>
      <c r="S1114" s="72"/>
      <c r="T1114" s="72"/>
      <c r="U1114" s="72"/>
      <c r="V1114" s="72"/>
    </row>
    <row r="1115" spans="1:22" s="63" customFormat="1" ht="15" x14ac:dyDescent="0.25">
      <c r="A1115" s="87">
        <v>9.36</v>
      </c>
      <c r="B1115" s="81" t="s">
        <v>51</v>
      </c>
      <c r="C1115" s="82">
        <v>12</v>
      </c>
      <c r="D1115" s="131" t="s">
        <v>1127</v>
      </c>
      <c r="E1115" s="83" t="s">
        <v>1128</v>
      </c>
      <c r="F1115" s="81" t="s">
        <v>219</v>
      </c>
      <c r="G1115" s="82">
        <v>1</v>
      </c>
      <c r="H1115" s="85"/>
      <c r="I1115" s="86">
        <v>1664.09</v>
      </c>
      <c r="J1115" s="185">
        <f t="shared" si="124"/>
        <v>1894.73</v>
      </c>
      <c r="K1115" s="189">
        <f t="shared" si="125"/>
        <v>1894.73</v>
      </c>
      <c r="L1115" s="189"/>
      <c r="M1115" s="138"/>
      <c r="N1115" s="138"/>
      <c r="O1115" s="138"/>
      <c r="S1115" s="72"/>
      <c r="T1115" s="72"/>
      <c r="U1115" s="72"/>
      <c r="V1115" s="72"/>
    </row>
    <row r="1116" spans="1:22" s="63" customFormat="1" ht="22.5" x14ac:dyDescent="0.25">
      <c r="A1116" s="87">
        <v>9.3699999999999992</v>
      </c>
      <c r="B1116" s="81" t="s">
        <v>51</v>
      </c>
      <c r="C1116" s="80">
        <v>12.1</v>
      </c>
      <c r="D1116" s="131" t="s">
        <v>1129</v>
      </c>
      <c r="E1116" s="83" t="s">
        <v>1130</v>
      </c>
      <c r="F1116" s="81" t="s">
        <v>219</v>
      </c>
      <c r="G1116" s="82">
        <v>1</v>
      </c>
      <c r="H1116" s="85"/>
      <c r="I1116" s="86">
        <v>672.13</v>
      </c>
      <c r="J1116" s="185">
        <f t="shared" si="124"/>
        <v>765.29</v>
      </c>
      <c r="K1116" s="189">
        <f t="shared" si="125"/>
        <v>765.29</v>
      </c>
      <c r="L1116" s="189"/>
      <c r="M1116" s="138"/>
      <c r="N1116" s="138"/>
      <c r="O1116" s="138"/>
      <c r="S1116" s="72"/>
      <c r="T1116" s="72"/>
      <c r="U1116" s="72"/>
      <c r="V1116" s="72"/>
    </row>
    <row r="1117" spans="1:22" s="63" customFormat="1" ht="22.5" x14ac:dyDescent="0.25">
      <c r="A1117" s="87">
        <v>9.3800000000000008</v>
      </c>
      <c r="B1117" s="81" t="s">
        <v>51</v>
      </c>
      <c r="C1117" s="82">
        <v>13</v>
      </c>
      <c r="D1117" s="131" t="s">
        <v>1131</v>
      </c>
      <c r="E1117" s="83" t="s">
        <v>1132</v>
      </c>
      <c r="F1117" s="81" t="s">
        <v>219</v>
      </c>
      <c r="G1117" s="82">
        <v>1</v>
      </c>
      <c r="H1117" s="85"/>
      <c r="I1117" s="86">
        <v>3307.17</v>
      </c>
      <c r="J1117" s="185">
        <f t="shared" si="124"/>
        <v>3765.54</v>
      </c>
      <c r="K1117" s="189">
        <f t="shared" si="125"/>
        <v>3765.54</v>
      </c>
      <c r="L1117" s="189"/>
      <c r="M1117" s="138"/>
      <c r="N1117" s="138"/>
      <c r="O1117" s="138"/>
      <c r="S1117" s="72"/>
      <c r="T1117" s="72"/>
      <c r="U1117" s="72"/>
      <c r="V1117" s="72"/>
    </row>
    <row r="1118" spans="1:22" s="63" customFormat="1" ht="22.5" x14ac:dyDescent="0.25">
      <c r="A1118" s="87">
        <v>9.39</v>
      </c>
      <c r="B1118" s="81" t="s">
        <v>51</v>
      </c>
      <c r="C1118" s="80">
        <v>13.1</v>
      </c>
      <c r="D1118" s="131" t="s">
        <v>1133</v>
      </c>
      <c r="E1118" s="83" t="s">
        <v>1134</v>
      </c>
      <c r="F1118" s="81" t="s">
        <v>219</v>
      </c>
      <c r="G1118" s="82">
        <v>1</v>
      </c>
      <c r="H1118" s="85"/>
      <c r="I1118" s="86">
        <v>3783.95</v>
      </c>
      <c r="J1118" s="185">
        <f t="shared" si="124"/>
        <v>4308.41</v>
      </c>
      <c r="K1118" s="189">
        <f t="shared" si="125"/>
        <v>4308.41</v>
      </c>
      <c r="L1118" s="189"/>
      <c r="M1118" s="138"/>
      <c r="N1118" s="138"/>
      <c r="O1118" s="138"/>
      <c r="S1118" s="72"/>
      <c r="T1118" s="72"/>
      <c r="U1118" s="72"/>
      <c r="V1118" s="72"/>
    </row>
    <row r="1119" spans="1:22" s="63" customFormat="1" ht="22.5" x14ac:dyDescent="0.25">
      <c r="A1119" s="87">
        <v>9.4</v>
      </c>
      <c r="B1119" s="81" t="s">
        <v>51</v>
      </c>
      <c r="C1119" s="82">
        <v>14</v>
      </c>
      <c r="D1119" s="131" t="s">
        <v>1135</v>
      </c>
      <c r="E1119" s="83" t="s">
        <v>1136</v>
      </c>
      <c r="F1119" s="81" t="s">
        <v>219</v>
      </c>
      <c r="G1119" s="82">
        <v>2</v>
      </c>
      <c r="H1119" s="85"/>
      <c r="I1119" s="86">
        <v>13775.14</v>
      </c>
      <c r="J1119" s="185">
        <f t="shared" si="124"/>
        <v>7842.19</v>
      </c>
      <c r="K1119" s="189">
        <f t="shared" si="125"/>
        <v>15684.38</v>
      </c>
      <c r="L1119" s="189"/>
      <c r="M1119" s="138"/>
      <c r="N1119" s="138"/>
      <c r="O1119" s="138"/>
      <c r="S1119" s="72"/>
      <c r="T1119" s="72"/>
      <c r="U1119" s="72"/>
      <c r="V1119" s="72"/>
    </row>
    <row r="1120" spans="1:22" s="63" customFormat="1" ht="22.5" x14ac:dyDescent="0.25">
      <c r="A1120" s="87">
        <v>9.41</v>
      </c>
      <c r="B1120" s="81" t="s">
        <v>51</v>
      </c>
      <c r="C1120" s="80">
        <v>14.1</v>
      </c>
      <c r="D1120" s="131" t="s">
        <v>1137</v>
      </c>
      <c r="E1120" s="83" t="s">
        <v>1138</v>
      </c>
      <c r="F1120" s="81" t="s">
        <v>334</v>
      </c>
      <c r="G1120" s="80">
        <v>18.600000000000001</v>
      </c>
      <c r="H1120" s="85"/>
      <c r="I1120" s="86">
        <v>1986.99</v>
      </c>
      <c r="J1120" s="185">
        <f t="shared" si="124"/>
        <v>121.63</v>
      </c>
      <c r="K1120" s="189">
        <f t="shared" si="125"/>
        <v>2262.3200000000002</v>
      </c>
      <c r="L1120" s="189"/>
      <c r="M1120" s="138"/>
      <c r="N1120" s="138"/>
      <c r="O1120" s="138"/>
      <c r="S1120" s="72"/>
      <c r="T1120" s="72"/>
      <c r="U1120" s="72"/>
      <c r="V1120" s="72"/>
    </row>
    <row r="1121" spans="1:22" s="63" customFormat="1" ht="22.5" x14ac:dyDescent="0.25">
      <c r="A1121" s="87">
        <v>9.42</v>
      </c>
      <c r="B1121" s="81" t="s">
        <v>51</v>
      </c>
      <c r="C1121" s="80">
        <v>14.2</v>
      </c>
      <c r="D1121" s="131" t="s">
        <v>1139</v>
      </c>
      <c r="E1121" s="83" t="s">
        <v>1140</v>
      </c>
      <c r="F1121" s="81" t="s">
        <v>566</v>
      </c>
      <c r="G1121" s="80">
        <v>0.4</v>
      </c>
      <c r="H1121" s="85"/>
      <c r="I1121" s="86">
        <v>838.98</v>
      </c>
      <c r="J1121" s="185">
        <f t="shared" si="124"/>
        <v>2388.16</v>
      </c>
      <c r="K1121" s="189">
        <f t="shared" si="125"/>
        <v>955.26</v>
      </c>
      <c r="L1121" s="189"/>
      <c r="M1121" s="138"/>
      <c r="N1121" s="138"/>
      <c r="O1121" s="138"/>
      <c r="S1121" s="72"/>
      <c r="T1121" s="72"/>
      <c r="U1121" s="72"/>
      <c r="V1121" s="72"/>
    </row>
    <row r="1122" spans="1:22" s="63" customFormat="1" ht="22.5" x14ac:dyDescent="0.25">
      <c r="A1122" s="87">
        <v>9.43</v>
      </c>
      <c r="B1122" s="81" t="s">
        <v>51</v>
      </c>
      <c r="C1122" s="80">
        <v>14.3</v>
      </c>
      <c r="D1122" s="131" t="s">
        <v>1141</v>
      </c>
      <c r="E1122" s="83" t="s">
        <v>3571</v>
      </c>
      <c r="F1122" s="81" t="s">
        <v>219</v>
      </c>
      <c r="G1122" s="82">
        <v>1</v>
      </c>
      <c r="H1122" s="85"/>
      <c r="I1122" s="86">
        <v>26592.23</v>
      </c>
      <c r="J1122" s="185">
        <f t="shared" si="124"/>
        <v>30277.91</v>
      </c>
      <c r="K1122" s="189">
        <f t="shared" si="125"/>
        <v>30277.91</v>
      </c>
      <c r="L1122" s="189"/>
      <c r="M1122" s="138"/>
      <c r="N1122" s="138"/>
      <c r="O1122" s="138"/>
      <c r="S1122" s="72"/>
      <c r="T1122" s="72"/>
      <c r="U1122" s="72"/>
      <c r="V1122" s="72"/>
    </row>
    <row r="1123" spans="1:22" s="63" customFormat="1" ht="22.5" x14ac:dyDescent="0.25">
      <c r="A1123" s="87">
        <v>9.44</v>
      </c>
      <c r="B1123" s="81" t="s">
        <v>51</v>
      </c>
      <c r="C1123" s="80">
        <v>14.4</v>
      </c>
      <c r="D1123" s="131" t="s">
        <v>1142</v>
      </c>
      <c r="E1123" s="83" t="s">
        <v>3572</v>
      </c>
      <c r="F1123" s="81" t="s">
        <v>219</v>
      </c>
      <c r="G1123" s="82">
        <v>1</v>
      </c>
      <c r="H1123" s="85"/>
      <c r="I1123" s="86">
        <v>26959.24</v>
      </c>
      <c r="J1123" s="185">
        <f t="shared" si="124"/>
        <v>30695.79</v>
      </c>
      <c r="K1123" s="189">
        <f t="shared" si="125"/>
        <v>30695.79</v>
      </c>
      <c r="L1123" s="189"/>
      <c r="M1123" s="138"/>
      <c r="N1123" s="138"/>
      <c r="O1123" s="138"/>
      <c r="S1123" s="72"/>
      <c r="T1123" s="72"/>
      <c r="U1123" s="72"/>
      <c r="V1123" s="72"/>
    </row>
    <row r="1124" spans="1:22" s="63" customFormat="1" ht="22.5" x14ac:dyDescent="0.25">
      <c r="A1124" s="87">
        <v>9.4499999999999993</v>
      </c>
      <c r="B1124" s="81" t="s">
        <v>51</v>
      </c>
      <c r="C1124" s="82">
        <v>15</v>
      </c>
      <c r="D1124" s="131" t="s">
        <v>1143</v>
      </c>
      <c r="E1124" s="83" t="s">
        <v>1144</v>
      </c>
      <c r="F1124" s="81" t="s">
        <v>219</v>
      </c>
      <c r="G1124" s="82">
        <v>1</v>
      </c>
      <c r="H1124" s="85"/>
      <c r="I1124" s="86">
        <v>1524.27</v>
      </c>
      <c r="J1124" s="185">
        <f t="shared" si="124"/>
        <v>1735.53</v>
      </c>
      <c r="K1124" s="189">
        <f t="shared" si="125"/>
        <v>1735.53</v>
      </c>
      <c r="L1124" s="189"/>
      <c r="M1124" s="138"/>
      <c r="N1124" s="138"/>
      <c r="O1124" s="138"/>
      <c r="S1124" s="72"/>
      <c r="T1124" s="72"/>
      <c r="U1124" s="72"/>
      <c r="V1124" s="72"/>
    </row>
    <row r="1125" spans="1:22" s="63" customFormat="1" ht="22.5" x14ac:dyDescent="0.25">
      <c r="A1125" s="101">
        <v>9.4600000000000009</v>
      </c>
      <c r="B1125" s="102" t="s">
        <v>51</v>
      </c>
      <c r="C1125" s="103">
        <v>15.1</v>
      </c>
      <c r="D1125" s="167" t="s">
        <v>1145</v>
      </c>
      <c r="E1125" s="104" t="s">
        <v>1146</v>
      </c>
      <c r="F1125" s="102" t="s">
        <v>219</v>
      </c>
      <c r="G1125" s="105">
        <v>1</v>
      </c>
      <c r="H1125" s="106"/>
      <c r="I1125" s="107">
        <v>12157.2</v>
      </c>
      <c r="J1125" s="192">
        <f>ROUND($I1125/$G1125*$N$12,2)</f>
        <v>13597.83</v>
      </c>
      <c r="K1125" s="193">
        <f t="shared" si="125"/>
        <v>13597.83</v>
      </c>
      <c r="L1125" s="193"/>
      <c r="M1125" s="138"/>
      <c r="N1125" s="138"/>
      <c r="O1125" s="138"/>
      <c r="S1125" s="72"/>
      <c r="T1125" s="72"/>
      <c r="U1125" s="72"/>
      <c r="V1125" s="72"/>
    </row>
    <row r="1126" spans="1:22" s="63" customFormat="1" ht="22.5" x14ac:dyDescent="0.25">
      <c r="A1126" s="87">
        <v>9.4700000000000006</v>
      </c>
      <c r="B1126" s="81" t="s">
        <v>51</v>
      </c>
      <c r="C1126" s="82">
        <v>16</v>
      </c>
      <c r="D1126" s="131" t="s">
        <v>1147</v>
      </c>
      <c r="E1126" s="83" t="s">
        <v>1148</v>
      </c>
      <c r="F1126" s="81" t="s">
        <v>207</v>
      </c>
      <c r="G1126" s="87">
        <v>0.38</v>
      </c>
      <c r="H1126" s="85"/>
      <c r="I1126" s="86">
        <v>13208.65</v>
      </c>
      <c r="J1126" s="185">
        <f>ROUND($I1126/$G1126*$N$11,2)</f>
        <v>39577.29</v>
      </c>
      <c r="K1126" s="189">
        <f t="shared" si="125"/>
        <v>15039.37</v>
      </c>
      <c r="L1126" s="189"/>
      <c r="M1126" s="138"/>
      <c r="N1126" s="138"/>
      <c r="O1126" s="138"/>
      <c r="S1126" s="72"/>
      <c r="T1126" s="72"/>
      <c r="U1126" s="72"/>
      <c r="V1126" s="72"/>
    </row>
    <row r="1127" spans="1:22" s="63" customFormat="1" ht="22.5" x14ac:dyDescent="0.25">
      <c r="A1127" s="87">
        <v>9.48</v>
      </c>
      <c r="B1127" s="81" t="s">
        <v>51</v>
      </c>
      <c r="C1127" s="80">
        <v>16.100000000000001</v>
      </c>
      <c r="D1127" s="131" t="s">
        <v>1149</v>
      </c>
      <c r="E1127" s="83" t="s">
        <v>1150</v>
      </c>
      <c r="F1127" s="81" t="s">
        <v>370</v>
      </c>
      <c r="G1127" s="80">
        <v>43.7</v>
      </c>
      <c r="H1127" s="85"/>
      <c r="I1127" s="86">
        <v>19406.71</v>
      </c>
      <c r="J1127" s="185">
        <f>ROUND($I1127/$G1127*$N$11,2)</f>
        <v>505.64</v>
      </c>
      <c r="K1127" s="189">
        <f t="shared" si="125"/>
        <v>22096.47</v>
      </c>
      <c r="L1127" s="189"/>
      <c r="M1127" s="138"/>
      <c r="N1127" s="138"/>
      <c r="O1127" s="138"/>
      <c r="S1127" s="72"/>
      <c r="T1127" s="72"/>
      <c r="U1127" s="72"/>
      <c r="V1127" s="72"/>
    </row>
    <row r="1128" spans="1:22" s="63" customFormat="1" ht="22.5" x14ac:dyDescent="0.25">
      <c r="A1128" s="87">
        <v>9.49</v>
      </c>
      <c r="B1128" s="81" t="s">
        <v>51</v>
      </c>
      <c r="C1128" s="82">
        <v>17</v>
      </c>
      <c r="D1128" s="131" t="s">
        <v>1151</v>
      </c>
      <c r="E1128" s="83" t="s">
        <v>1152</v>
      </c>
      <c r="F1128" s="81" t="s">
        <v>205</v>
      </c>
      <c r="G1128" s="80">
        <v>1.8</v>
      </c>
      <c r="H1128" s="85"/>
      <c r="I1128" s="86">
        <v>46089.03</v>
      </c>
      <c r="J1128" s="185">
        <f>ROUND($I1128/$G1128*$N$11,2)</f>
        <v>29153.87</v>
      </c>
      <c r="K1128" s="189">
        <f t="shared" si="125"/>
        <v>52476.97</v>
      </c>
      <c r="L1128" s="189"/>
      <c r="M1128" s="138"/>
      <c r="N1128" s="138"/>
      <c r="O1128" s="138"/>
      <c r="S1128" s="72"/>
      <c r="T1128" s="72"/>
      <c r="U1128" s="72"/>
      <c r="V1128" s="72"/>
    </row>
    <row r="1129" spans="1:22" s="63" customFormat="1" ht="22.5" x14ac:dyDescent="0.25">
      <c r="A1129" s="87">
        <v>9.5</v>
      </c>
      <c r="B1129" s="81" t="s">
        <v>51</v>
      </c>
      <c r="C1129" s="80">
        <v>17.100000000000001</v>
      </c>
      <c r="D1129" s="131" t="s">
        <v>1153</v>
      </c>
      <c r="E1129" s="83" t="s">
        <v>3573</v>
      </c>
      <c r="F1129" s="81" t="s">
        <v>370</v>
      </c>
      <c r="G1129" s="82">
        <v>63</v>
      </c>
      <c r="H1129" s="85"/>
      <c r="I1129" s="86">
        <v>22314.91</v>
      </c>
      <c r="J1129" s="185">
        <f>ROUND($I1129/$G1129*$N$11,2)</f>
        <v>403.3</v>
      </c>
      <c r="K1129" s="189">
        <f t="shared" si="125"/>
        <v>25407.9</v>
      </c>
      <c r="L1129" s="189"/>
      <c r="M1129" s="138"/>
      <c r="N1129" s="138"/>
      <c r="O1129" s="138"/>
      <c r="S1129" s="72"/>
      <c r="T1129" s="72"/>
      <c r="U1129" s="72"/>
      <c r="V1129" s="72"/>
    </row>
    <row r="1130" spans="1:22" s="128" customFormat="1" ht="12.75" x14ac:dyDescent="0.25">
      <c r="A1130" s="237"/>
      <c r="B1130" s="125"/>
      <c r="C1130" s="236"/>
      <c r="D1130" s="77"/>
      <c r="E1130" s="126" t="s">
        <v>3291</v>
      </c>
      <c r="F1130" s="125"/>
      <c r="G1130" s="76"/>
      <c r="H1130" s="127"/>
      <c r="I1130" s="78"/>
      <c r="J1130" s="238"/>
      <c r="K1130" s="239"/>
      <c r="L1130" s="239"/>
      <c r="M1130" s="79"/>
      <c r="N1130" s="79"/>
      <c r="O1130" s="79"/>
      <c r="S1130" s="129"/>
      <c r="T1130" s="129"/>
      <c r="U1130" s="129"/>
      <c r="V1130" s="129"/>
    </row>
    <row r="1131" spans="1:22" s="63" customFormat="1" ht="22.5" x14ac:dyDescent="0.25">
      <c r="A1131" s="87">
        <v>9.51</v>
      </c>
      <c r="B1131" s="81" t="s">
        <v>51</v>
      </c>
      <c r="C1131" s="82">
        <v>18</v>
      </c>
      <c r="D1131" s="131" t="s">
        <v>1069</v>
      </c>
      <c r="E1131" s="83" t="s">
        <v>1070</v>
      </c>
      <c r="F1131" s="81" t="s">
        <v>219</v>
      </c>
      <c r="G1131" s="82">
        <v>1</v>
      </c>
      <c r="H1131" s="85"/>
      <c r="I1131" s="86">
        <v>70740.42</v>
      </c>
      <c r="J1131" s="185">
        <f>ROUND($I1131/$G1131*$N$11,2)</f>
        <v>80545.039999999994</v>
      </c>
      <c r="K1131" s="189">
        <f t="shared" ref="K1131:K1177" si="126">ROUND(G1131*J1131,2)</f>
        <v>80545.039999999994</v>
      </c>
      <c r="L1131" s="189"/>
      <c r="M1131" s="138"/>
      <c r="N1131" s="138"/>
      <c r="O1131" s="138"/>
      <c r="S1131" s="72"/>
      <c r="T1131" s="72"/>
      <c r="U1131" s="72"/>
      <c r="V1131" s="72"/>
    </row>
    <row r="1132" spans="1:22" s="63" customFormat="1" ht="22.5" x14ac:dyDescent="0.25">
      <c r="A1132" s="87">
        <v>9.52</v>
      </c>
      <c r="B1132" s="81" t="s">
        <v>51</v>
      </c>
      <c r="C1132" s="80">
        <v>18.100000000000001</v>
      </c>
      <c r="D1132" s="131" t="s">
        <v>1071</v>
      </c>
      <c r="E1132" s="83" t="s">
        <v>1072</v>
      </c>
      <c r="F1132" s="81" t="s">
        <v>226</v>
      </c>
      <c r="G1132" s="89">
        <v>9.6000000000000002E-4</v>
      </c>
      <c r="H1132" s="85"/>
      <c r="I1132" s="86">
        <v>128.05000000000001</v>
      </c>
      <c r="J1132" s="185">
        <f>ROUND($I1132/$G1132*$N$11,2)</f>
        <v>151872.64000000001</v>
      </c>
      <c r="K1132" s="189">
        <f t="shared" si="126"/>
        <v>145.80000000000001</v>
      </c>
      <c r="L1132" s="189"/>
      <c r="M1132" s="138"/>
      <c r="N1132" s="138"/>
      <c r="O1132" s="138"/>
      <c r="S1132" s="72"/>
      <c r="T1132" s="72"/>
      <c r="U1132" s="72"/>
      <c r="V1132" s="72"/>
    </row>
    <row r="1133" spans="1:22" s="63" customFormat="1" ht="22.5" x14ac:dyDescent="0.25">
      <c r="A1133" s="87">
        <v>9.5299999999999994</v>
      </c>
      <c r="B1133" s="81" t="s">
        <v>51</v>
      </c>
      <c r="C1133" s="80">
        <v>18.2</v>
      </c>
      <c r="D1133" s="131" t="s">
        <v>1073</v>
      </c>
      <c r="E1133" s="83" t="s">
        <v>1074</v>
      </c>
      <c r="F1133" s="81" t="s">
        <v>210</v>
      </c>
      <c r="G1133" s="82">
        <v>1</v>
      </c>
      <c r="H1133" s="85"/>
      <c r="I1133" s="86">
        <v>181.68</v>
      </c>
      <c r="J1133" s="185">
        <f>ROUND($I1133/$G1133*$N$11,2)</f>
        <v>206.86</v>
      </c>
      <c r="K1133" s="189">
        <f t="shared" si="126"/>
        <v>206.86</v>
      </c>
      <c r="L1133" s="189"/>
      <c r="M1133" s="138"/>
      <c r="N1133" s="138"/>
      <c r="O1133" s="138"/>
      <c r="S1133" s="72"/>
      <c r="T1133" s="72"/>
      <c r="U1133" s="72"/>
      <c r="V1133" s="72"/>
    </row>
    <row r="1134" spans="1:22" s="63" customFormat="1" ht="22.5" x14ac:dyDescent="0.25">
      <c r="A1134" s="87">
        <v>9.5399999999999991</v>
      </c>
      <c r="B1134" s="81" t="s">
        <v>51</v>
      </c>
      <c r="C1134" s="80">
        <v>18.3</v>
      </c>
      <c r="D1134" s="131" t="s">
        <v>1075</v>
      </c>
      <c r="E1134" s="83" t="s">
        <v>1076</v>
      </c>
      <c r="F1134" s="81" t="s">
        <v>205</v>
      </c>
      <c r="G1134" s="84">
        <v>8.9999999999999993E-3</v>
      </c>
      <c r="H1134" s="85"/>
      <c r="I1134" s="86">
        <v>62.43</v>
      </c>
      <c r="J1134" s="185">
        <f>ROUND($I1134/$G1134*$N$11,2)</f>
        <v>7898.09</v>
      </c>
      <c r="K1134" s="189">
        <f t="shared" si="126"/>
        <v>71.08</v>
      </c>
      <c r="L1134" s="189"/>
      <c r="M1134" s="138"/>
      <c r="N1134" s="138"/>
      <c r="O1134" s="138"/>
      <c r="S1134" s="72"/>
      <c r="T1134" s="72"/>
      <c r="U1134" s="72"/>
      <c r="V1134" s="72"/>
    </row>
    <row r="1135" spans="1:22" s="63" customFormat="1" ht="22.5" x14ac:dyDescent="0.25">
      <c r="A1135" s="101">
        <v>9.5500000000000007</v>
      </c>
      <c r="B1135" s="102" t="s">
        <v>51</v>
      </c>
      <c r="C1135" s="103">
        <v>18.399999999999999</v>
      </c>
      <c r="D1135" s="167" t="s">
        <v>1154</v>
      </c>
      <c r="E1135" s="104" t="s">
        <v>3574</v>
      </c>
      <c r="F1135" s="102" t="s">
        <v>219</v>
      </c>
      <c r="G1135" s="105">
        <v>1</v>
      </c>
      <c r="H1135" s="106"/>
      <c r="I1135" s="107">
        <v>128245.18</v>
      </c>
      <c r="J1135" s="192">
        <f>ROUND($I1135/$G1135*$N$12,2)</f>
        <v>143442.23000000001</v>
      </c>
      <c r="K1135" s="193">
        <f t="shared" si="126"/>
        <v>143442.23000000001</v>
      </c>
      <c r="L1135" s="193"/>
      <c r="M1135" s="138"/>
      <c r="N1135" s="138"/>
      <c r="O1135" s="138"/>
      <c r="S1135" s="110"/>
      <c r="T1135" s="72"/>
      <c r="U1135" s="72"/>
      <c r="V1135" s="72"/>
    </row>
    <row r="1136" spans="1:22" s="63" customFormat="1" ht="22.5" x14ac:dyDescent="0.25">
      <c r="A1136" s="87">
        <v>9.56</v>
      </c>
      <c r="B1136" s="81" t="s">
        <v>51</v>
      </c>
      <c r="C1136" s="82">
        <v>19</v>
      </c>
      <c r="D1136" s="131" t="s">
        <v>783</v>
      </c>
      <c r="E1136" s="83" t="s">
        <v>1078</v>
      </c>
      <c r="F1136" s="81" t="s">
        <v>219</v>
      </c>
      <c r="G1136" s="82">
        <v>1</v>
      </c>
      <c r="H1136" s="85"/>
      <c r="I1136" s="86">
        <v>3276.2</v>
      </c>
      <c r="J1136" s="185">
        <f>ROUND($I1136/$G1136*$N$11,2)</f>
        <v>3730.28</v>
      </c>
      <c r="K1136" s="189">
        <f t="shared" si="126"/>
        <v>3730.28</v>
      </c>
      <c r="L1136" s="189"/>
      <c r="M1136" s="138"/>
      <c r="N1136" s="138"/>
      <c r="O1136" s="138"/>
      <c r="S1136" s="72"/>
      <c r="T1136" s="72"/>
      <c r="U1136" s="72"/>
      <c r="V1136" s="72"/>
    </row>
    <row r="1137" spans="1:22" s="63" customFormat="1" ht="22.5" x14ac:dyDescent="0.25">
      <c r="A1137" s="101">
        <v>9.57</v>
      </c>
      <c r="B1137" s="102" t="s">
        <v>51</v>
      </c>
      <c r="C1137" s="103">
        <v>19.100000000000001</v>
      </c>
      <c r="D1137" s="167" t="s">
        <v>1155</v>
      </c>
      <c r="E1137" s="104" t="s">
        <v>3564</v>
      </c>
      <c r="F1137" s="102" t="s">
        <v>219</v>
      </c>
      <c r="G1137" s="105">
        <v>1</v>
      </c>
      <c r="H1137" s="106"/>
      <c r="I1137" s="107">
        <v>53459.03</v>
      </c>
      <c r="J1137" s="192">
        <f>ROUND($I1137/$G1137*$N$12,2)</f>
        <v>59793.93</v>
      </c>
      <c r="K1137" s="193">
        <f t="shared" si="126"/>
        <v>59793.93</v>
      </c>
      <c r="L1137" s="193"/>
      <c r="M1137" s="138"/>
      <c r="N1137" s="138"/>
      <c r="O1137" s="138"/>
      <c r="S1137" s="110"/>
      <c r="T1137" s="72"/>
      <c r="U1137" s="72"/>
      <c r="V1137" s="72"/>
    </row>
    <row r="1138" spans="1:22" s="63" customFormat="1" ht="33.75" x14ac:dyDescent="0.25">
      <c r="A1138" s="87">
        <v>9.58</v>
      </c>
      <c r="B1138" s="81" t="s">
        <v>51</v>
      </c>
      <c r="C1138" s="82">
        <v>20</v>
      </c>
      <c r="D1138" s="131" t="s">
        <v>1080</v>
      </c>
      <c r="E1138" s="83" t="s">
        <v>1081</v>
      </c>
      <c r="F1138" s="81" t="s">
        <v>219</v>
      </c>
      <c r="G1138" s="82">
        <v>1</v>
      </c>
      <c r="H1138" s="85"/>
      <c r="I1138" s="86">
        <v>2167.71</v>
      </c>
      <c r="J1138" s="185">
        <f>ROUND($I1138/$G1138*$N$11,2)</f>
        <v>2468.15</v>
      </c>
      <c r="K1138" s="189">
        <f t="shared" si="126"/>
        <v>2468.15</v>
      </c>
      <c r="L1138" s="189"/>
      <c r="M1138" s="138"/>
      <c r="N1138" s="138"/>
      <c r="O1138" s="138"/>
      <c r="S1138" s="72"/>
      <c r="T1138" s="72"/>
      <c r="U1138" s="72"/>
      <c r="V1138" s="72"/>
    </row>
    <row r="1139" spans="1:22" s="63" customFormat="1" ht="22.5" x14ac:dyDescent="0.25">
      <c r="A1139" s="101">
        <v>9.59</v>
      </c>
      <c r="B1139" s="102" t="s">
        <v>51</v>
      </c>
      <c r="C1139" s="103">
        <v>20.100000000000001</v>
      </c>
      <c r="D1139" s="167" t="s">
        <v>1156</v>
      </c>
      <c r="E1139" s="104" t="s">
        <v>3575</v>
      </c>
      <c r="F1139" s="102" t="s">
        <v>219</v>
      </c>
      <c r="G1139" s="105">
        <v>1</v>
      </c>
      <c r="H1139" s="106"/>
      <c r="I1139" s="107">
        <v>26142.55</v>
      </c>
      <c r="J1139" s="192">
        <f>ROUND($I1139/$G1139*$N$12,2)</f>
        <v>29240.44</v>
      </c>
      <c r="K1139" s="193">
        <f t="shared" si="126"/>
        <v>29240.44</v>
      </c>
      <c r="L1139" s="193"/>
      <c r="M1139" s="138"/>
      <c r="N1139" s="138"/>
      <c r="O1139" s="138"/>
      <c r="S1139" s="110"/>
      <c r="T1139" s="72"/>
      <c r="U1139" s="72"/>
      <c r="V1139" s="72"/>
    </row>
    <row r="1140" spans="1:22" s="63" customFormat="1" ht="15" x14ac:dyDescent="0.25">
      <c r="A1140" s="87">
        <v>9.6</v>
      </c>
      <c r="B1140" s="81" t="s">
        <v>51</v>
      </c>
      <c r="C1140" s="82">
        <v>21</v>
      </c>
      <c r="D1140" s="131" t="s">
        <v>1083</v>
      </c>
      <c r="E1140" s="83" t="s">
        <v>1084</v>
      </c>
      <c r="F1140" s="81" t="s">
        <v>566</v>
      </c>
      <c r="G1140" s="80">
        <v>0.1</v>
      </c>
      <c r="H1140" s="85"/>
      <c r="I1140" s="86">
        <v>3110.21</v>
      </c>
      <c r="J1140" s="185">
        <f>ROUND($I1140/$G1140*$N$11,2)</f>
        <v>35412.85</v>
      </c>
      <c r="K1140" s="189">
        <f t="shared" si="126"/>
        <v>3541.29</v>
      </c>
      <c r="L1140" s="189"/>
      <c r="M1140" s="138"/>
      <c r="N1140" s="138"/>
      <c r="O1140" s="138"/>
      <c r="S1140" s="72"/>
      <c r="T1140" s="72"/>
      <c r="U1140" s="72"/>
      <c r="V1140" s="72"/>
    </row>
    <row r="1141" spans="1:22" s="63" customFormat="1" ht="22.5" x14ac:dyDescent="0.25">
      <c r="A1141" s="101">
        <v>9.61</v>
      </c>
      <c r="B1141" s="102" t="s">
        <v>51</v>
      </c>
      <c r="C1141" s="103">
        <v>21.1</v>
      </c>
      <c r="D1141" s="167" t="s">
        <v>1157</v>
      </c>
      <c r="E1141" s="104" t="s">
        <v>3576</v>
      </c>
      <c r="F1141" s="102" t="s">
        <v>219</v>
      </c>
      <c r="G1141" s="105">
        <v>1</v>
      </c>
      <c r="H1141" s="106"/>
      <c r="I1141" s="107">
        <v>48002.27</v>
      </c>
      <c r="J1141" s="192">
        <f>ROUND($I1141/$G1141*$N$12,2)</f>
        <v>53690.54</v>
      </c>
      <c r="K1141" s="193">
        <f t="shared" si="126"/>
        <v>53690.54</v>
      </c>
      <c r="L1141" s="193"/>
      <c r="M1141" s="138"/>
      <c r="N1141" s="138"/>
      <c r="O1141" s="138"/>
      <c r="S1141" s="110"/>
      <c r="T1141" s="72"/>
      <c r="U1141" s="72"/>
      <c r="V1141" s="72"/>
    </row>
    <row r="1142" spans="1:22" s="63" customFormat="1" ht="22.5" x14ac:dyDescent="0.25">
      <c r="A1142" s="87">
        <v>9.6199999999999992</v>
      </c>
      <c r="B1142" s="81" t="s">
        <v>51</v>
      </c>
      <c r="C1142" s="82">
        <v>22</v>
      </c>
      <c r="D1142" s="131" t="s">
        <v>1158</v>
      </c>
      <c r="E1142" s="83" t="s">
        <v>1159</v>
      </c>
      <c r="F1142" s="81" t="s">
        <v>207</v>
      </c>
      <c r="G1142" s="84">
        <v>9.5000000000000001E-2</v>
      </c>
      <c r="H1142" s="85"/>
      <c r="I1142" s="86">
        <v>16314.35</v>
      </c>
      <c r="J1142" s="185">
        <f t="shared" ref="J1142:J1177" si="127">ROUND($I1142/$G1142*$N$11,2)</f>
        <v>195531.78</v>
      </c>
      <c r="K1142" s="189">
        <f t="shared" si="126"/>
        <v>18575.52</v>
      </c>
      <c r="L1142" s="189"/>
      <c r="M1142" s="138"/>
      <c r="N1142" s="138"/>
      <c r="O1142" s="138"/>
      <c r="S1142" s="72"/>
      <c r="T1142" s="72"/>
      <c r="U1142" s="72"/>
      <c r="V1142" s="72"/>
    </row>
    <row r="1143" spans="1:22" s="63" customFormat="1" ht="22.5" x14ac:dyDescent="0.25">
      <c r="A1143" s="87">
        <v>9.6300000000000008</v>
      </c>
      <c r="B1143" s="81" t="s">
        <v>51</v>
      </c>
      <c r="C1143" s="80">
        <v>22.1</v>
      </c>
      <c r="D1143" s="131" t="s">
        <v>1160</v>
      </c>
      <c r="E1143" s="83" t="s">
        <v>1161</v>
      </c>
      <c r="F1143" s="81" t="s">
        <v>370</v>
      </c>
      <c r="G1143" s="80">
        <v>3.2</v>
      </c>
      <c r="H1143" s="85"/>
      <c r="I1143" s="86">
        <v>3704.56</v>
      </c>
      <c r="J1143" s="185">
        <f t="shared" si="127"/>
        <v>1318.13</v>
      </c>
      <c r="K1143" s="189">
        <f t="shared" si="126"/>
        <v>4218.0200000000004</v>
      </c>
      <c r="L1143" s="189"/>
      <c r="M1143" s="138"/>
      <c r="N1143" s="138"/>
      <c r="O1143" s="138"/>
      <c r="S1143" s="72"/>
      <c r="T1143" s="72"/>
      <c r="U1143" s="72"/>
      <c r="V1143" s="72"/>
    </row>
    <row r="1144" spans="1:22" s="63" customFormat="1" ht="22.5" x14ac:dyDescent="0.25">
      <c r="A1144" s="87">
        <v>9.64</v>
      </c>
      <c r="B1144" s="81" t="s">
        <v>51</v>
      </c>
      <c r="C1144" s="80">
        <v>22.2</v>
      </c>
      <c r="D1144" s="131" t="s">
        <v>1162</v>
      </c>
      <c r="E1144" s="83" t="s">
        <v>1163</v>
      </c>
      <c r="F1144" s="81" t="s">
        <v>370</v>
      </c>
      <c r="G1144" s="80">
        <v>6.3</v>
      </c>
      <c r="H1144" s="85"/>
      <c r="I1144" s="86">
        <v>7168.11</v>
      </c>
      <c r="J1144" s="185">
        <f t="shared" si="127"/>
        <v>1295.49</v>
      </c>
      <c r="K1144" s="189">
        <f t="shared" si="126"/>
        <v>8161.59</v>
      </c>
      <c r="L1144" s="189"/>
      <c r="M1144" s="138"/>
      <c r="N1144" s="138"/>
      <c r="O1144" s="138"/>
      <c r="S1144" s="72"/>
      <c r="T1144" s="72"/>
      <c r="U1144" s="72"/>
      <c r="V1144" s="72"/>
    </row>
    <row r="1145" spans="1:22" s="63" customFormat="1" ht="22.5" x14ac:dyDescent="0.25">
      <c r="A1145" s="87">
        <v>9.65</v>
      </c>
      <c r="B1145" s="81" t="s">
        <v>51</v>
      </c>
      <c r="C1145" s="82">
        <v>23</v>
      </c>
      <c r="D1145" s="131" t="s">
        <v>1164</v>
      </c>
      <c r="E1145" s="83" t="s">
        <v>1165</v>
      </c>
      <c r="F1145" s="81" t="s">
        <v>207</v>
      </c>
      <c r="G1145" s="87">
        <v>0.02</v>
      </c>
      <c r="H1145" s="85"/>
      <c r="I1145" s="86">
        <v>3435</v>
      </c>
      <c r="J1145" s="185">
        <f t="shared" si="127"/>
        <v>195554.55</v>
      </c>
      <c r="K1145" s="189">
        <f t="shared" si="126"/>
        <v>3911.09</v>
      </c>
      <c r="L1145" s="189"/>
      <c r="M1145" s="138"/>
      <c r="N1145" s="138"/>
      <c r="O1145" s="138"/>
      <c r="S1145" s="72"/>
      <c r="T1145" s="72"/>
      <c r="U1145" s="72"/>
      <c r="V1145" s="72"/>
    </row>
    <row r="1146" spans="1:22" s="63" customFormat="1" ht="22.5" x14ac:dyDescent="0.25">
      <c r="A1146" s="87">
        <v>9.66</v>
      </c>
      <c r="B1146" s="81" t="s">
        <v>51</v>
      </c>
      <c r="C1146" s="80">
        <v>23.1</v>
      </c>
      <c r="D1146" s="131" t="s">
        <v>1166</v>
      </c>
      <c r="E1146" s="83" t="s">
        <v>1167</v>
      </c>
      <c r="F1146" s="81" t="s">
        <v>370</v>
      </c>
      <c r="G1146" s="82">
        <v>2</v>
      </c>
      <c r="H1146" s="85"/>
      <c r="I1146" s="86">
        <v>2689.57</v>
      </c>
      <c r="J1146" s="185">
        <f t="shared" si="127"/>
        <v>1531.17</v>
      </c>
      <c r="K1146" s="189">
        <f t="shared" si="126"/>
        <v>3062.34</v>
      </c>
      <c r="L1146" s="189"/>
      <c r="M1146" s="138"/>
      <c r="N1146" s="138"/>
      <c r="O1146" s="138"/>
      <c r="S1146" s="72"/>
      <c r="T1146" s="72"/>
      <c r="U1146" s="72"/>
      <c r="V1146" s="72"/>
    </row>
    <row r="1147" spans="1:22" s="63" customFormat="1" ht="33.75" x14ac:dyDescent="0.25">
      <c r="A1147" s="87">
        <v>9.67</v>
      </c>
      <c r="B1147" s="81" t="s">
        <v>51</v>
      </c>
      <c r="C1147" s="82">
        <v>24</v>
      </c>
      <c r="D1147" s="131" t="s">
        <v>1090</v>
      </c>
      <c r="E1147" s="83" t="s">
        <v>1168</v>
      </c>
      <c r="F1147" s="81" t="s">
        <v>207</v>
      </c>
      <c r="G1147" s="84">
        <v>0.49399999999999999</v>
      </c>
      <c r="H1147" s="85"/>
      <c r="I1147" s="86">
        <v>73498.039999999994</v>
      </c>
      <c r="J1147" s="185">
        <f t="shared" si="127"/>
        <v>169402.57</v>
      </c>
      <c r="K1147" s="189">
        <f t="shared" si="126"/>
        <v>83684.87</v>
      </c>
      <c r="L1147" s="189"/>
      <c r="M1147" s="138"/>
      <c r="N1147" s="138"/>
      <c r="O1147" s="138"/>
      <c r="S1147" s="72"/>
      <c r="T1147" s="72"/>
      <c r="U1147" s="72"/>
      <c r="V1147" s="72"/>
    </row>
    <row r="1148" spans="1:22" s="63" customFormat="1" ht="22.5" x14ac:dyDescent="0.25">
      <c r="A1148" s="87">
        <v>9.68</v>
      </c>
      <c r="B1148" s="81" t="s">
        <v>51</v>
      </c>
      <c r="C1148" s="80">
        <v>24.1</v>
      </c>
      <c r="D1148" s="131" t="s">
        <v>1169</v>
      </c>
      <c r="E1148" s="83" t="s">
        <v>1170</v>
      </c>
      <c r="F1148" s="81" t="s">
        <v>370</v>
      </c>
      <c r="G1148" s="87">
        <v>2.75</v>
      </c>
      <c r="H1148" s="85"/>
      <c r="I1148" s="86">
        <v>3658.12</v>
      </c>
      <c r="J1148" s="185">
        <f t="shared" si="127"/>
        <v>1514.59</v>
      </c>
      <c r="K1148" s="189">
        <f t="shared" si="126"/>
        <v>4165.12</v>
      </c>
      <c r="L1148" s="189"/>
      <c r="M1148" s="138"/>
      <c r="N1148" s="138"/>
      <c r="O1148" s="138"/>
      <c r="S1148" s="72"/>
      <c r="T1148" s="72"/>
      <c r="U1148" s="72"/>
      <c r="V1148" s="72"/>
    </row>
    <row r="1149" spans="1:22" s="63" customFormat="1" ht="22.5" x14ac:dyDescent="0.25">
      <c r="A1149" s="87">
        <v>9.69</v>
      </c>
      <c r="B1149" s="81" t="s">
        <v>51</v>
      </c>
      <c r="C1149" s="80">
        <v>24.2</v>
      </c>
      <c r="D1149" s="131" t="s">
        <v>1092</v>
      </c>
      <c r="E1149" s="83" t="s">
        <v>1093</v>
      </c>
      <c r="F1149" s="81" t="s">
        <v>370</v>
      </c>
      <c r="G1149" s="87">
        <v>3.25</v>
      </c>
      <c r="H1149" s="85"/>
      <c r="I1149" s="86">
        <v>4255.12</v>
      </c>
      <c r="J1149" s="185">
        <f t="shared" si="127"/>
        <v>1490.73</v>
      </c>
      <c r="K1149" s="189">
        <f t="shared" si="126"/>
        <v>4844.87</v>
      </c>
      <c r="L1149" s="189"/>
      <c r="M1149" s="138"/>
      <c r="N1149" s="138"/>
      <c r="O1149" s="138"/>
      <c r="S1149" s="72"/>
      <c r="T1149" s="72"/>
      <c r="U1149" s="72"/>
      <c r="V1149" s="72"/>
    </row>
    <row r="1150" spans="1:22" s="63" customFormat="1" ht="33.75" x14ac:dyDescent="0.25">
      <c r="A1150" s="87">
        <v>9.6999999999999993</v>
      </c>
      <c r="B1150" s="81" t="s">
        <v>51</v>
      </c>
      <c r="C1150" s="80">
        <v>24.3</v>
      </c>
      <c r="D1150" s="131" t="s">
        <v>1108</v>
      </c>
      <c r="E1150" s="83" t="s">
        <v>3577</v>
      </c>
      <c r="F1150" s="81" t="s">
        <v>370</v>
      </c>
      <c r="G1150" s="80">
        <v>43.4</v>
      </c>
      <c r="H1150" s="85"/>
      <c r="I1150" s="86">
        <v>54843.15</v>
      </c>
      <c r="J1150" s="185">
        <f t="shared" si="127"/>
        <v>1438.81</v>
      </c>
      <c r="K1150" s="189">
        <f t="shared" si="126"/>
        <v>62444.35</v>
      </c>
      <c r="L1150" s="189"/>
      <c r="M1150" s="138"/>
      <c r="N1150" s="138"/>
      <c r="O1150" s="138"/>
      <c r="S1150" s="72"/>
      <c r="T1150" s="72"/>
      <c r="U1150" s="72"/>
      <c r="V1150" s="72"/>
    </row>
    <row r="1151" spans="1:22" s="63" customFormat="1" ht="33.75" x14ac:dyDescent="0.25">
      <c r="A1151" s="87">
        <v>9.7100000000000009</v>
      </c>
      <c r="B1151" s="81" t="s">
        <v>51</v>
      </c>
      <c r="C1151" s="82">
        <v>25</v>
      </c>
      <c r="D1151" s="131" t="s">
        <v>1171</v>
      </c>
      <c r="E1151" s="83" t="s">
        <v>1172</v>
      </c>
      <c r="F1151" s="81" t="s">
        <v>207</v>
      </c>
      <c r="G1151" s="84">
        <v>1.4999999999999999E-2</v>
      </c>
      <c r="H1151" s="85"/>
      <c r="I1151" s="86">
        <v>1387.78</v>
      </c>
      <c r="J1151" s="185">
        <f t="shared" si="127"/>
        <v>105341.75</v>
      </c>
      <c r="K1151" s="189">
        <f t="shared" si="126"/>
        <v>1580.13</v>
      </c>
      <c r="L1151" s="189"/>
      <c r="M1151" s="138"/>
      <c r="N1151" s="138"/>
      <c r="O1151" s="138"/>
      <c r="S1151" s="72"/>
      <c r="T1151" s="72"/>
      <c r="U1151" s="72"/>
      <c r="V1151" s="72"/>
    </row>
    <row r="1152" spans="1:22" s="63" customFormat="1" ht="33.75" x14ac:dyDescent="0.25">
      <c r="A1152" s="87">
        <v>9.7200000000000006</v>
      </c>
      <c r="B1152" s="81" t="s">
        <v>51</v>
      </c>
      <c r="C1152" s="80">
        <v>25.1</v>
      </c>
      <c r="D1152" s="131" t="s">
        <v>1108</v>
      </c>
      <c r="E1152" s="83" t="s">
        <v>3578</v>
      </c>
      <c r="F1152" s="81" t="s">
        <v>370</v>
      </c>
      <c r="G1152" s="80">
        <v>1.5</v>
      </c>
      <c r="H1152" s="85"/>
      <c r="I1152" s="86">
        <v>1895.52</v>
      </c>
      <c r="J1152" s="185">
        <f t="shared" si="127"/>
        <v>1438.83</v>
      </c>
      <c r="K1152" s="189">
        <f t="shared" si="126"/>
        <v>2158.25</v>
      </c>
      <c r="L1152" s="189"/>
      <c r="M1152" s="138"/>
      <c r="N1152" s="138"/>
      <c r="O1152" s="138"/>
      <c r="S1152" s="72"/>
      <c r="T1152" s="72"/>
      <c r="U1152" s="72"/>
      <c r="V1152" s="72"/>
    </row>
    <row r="1153" spans="1:22" s="63" customFormat="1" ht="22.5" x14ac:dyDescent="0.25">
      <c r="A1153" s="87">
        <v>9.73</v>
      </c>
      <c r="B1153" s="81" t="s">
        <v>51</v>
      </c>
      <c r="C1153" s="82">
        <v>26</v>
      </c>
      <c r="D1153" s="131" t="s">
        <v>1173</v>
      </c>
      <c r="E1153" s="83" t="s">
        <v>1174</v>
      </c>
      <c r="F1153" s="81" t="s">
        <v>207</v>
      </c>
      <c r="G1153" s="88">
        <v>6.4399999999999999E-2</v>
      </c>
      <c r="H1153" s="85"/>
      <c r="I1153" s="86">
        <v>12077.98</v>
      </c>
      <c r="J1153" s="185">
        <f t="shared" si="127"/>
        <v>213540.19</v>
      </c>
      <c r="K1153" s="189">
        <f t="shared" si="126"/>
        <v>13751.99</v>
      </c>
      <c r="L1153" s="189"/>
      <c r="M1153" s="138"/>
      <c r="N1153" s="138"/>
      <c r="O1153" s="138"/>
      <c r="S1153" s="72"/>
      <c r="T1153" s="72"/>
      <c r="U1153" s="72"/>
      <c r="V1153" s="72"/>
    </row>
    <row r="1154" spans="1:22" s="63" customFormat="1" ht="22.5" x14ac:dyDescent="0.25">
      <c r="A1154" s="87">
        <v>9.74</v>
      </c>
      <c r="B1154" s="81" t="s">
        <v>51</v>
      </c>
      <c r="C1154" s="80">
        <v>26.1</v>
      </c>
      <c r="D1154" s="131" t="s">
        <v>1175</v>
      </c>
      <c r="E1154" s="83" t="s">
        <v>1176</v>
      </c>
      <c r="F1154" s="81" t="s">
        <v>370</v>
      </c>
      <c r="G1154" s="87">
        <v>3.31</v>
      </c>
      <c r="H1154" s="85"/>
      <c r="I1154" s="86">
        <v>2830.23</v>
      </c>
      <c r="J1154" s="185">
        <f t="shared" si="127"/>
        <v>973.56</v>
      </c>
      <c r="K1154" s="189">
        <f t="shared" si="126"/>
        <v>3222.48</v>
      </c>
      <c r="L1154" s="189"/>
      <c r="M1154" s="138"/>
      <c r="N1154" s="138"/>
      <c r="O1154" s="138"/>
      <c r="S1154" s="72"/>
      <c r="T1154" s="72"/>
      <c r="U1154" s="72"/>
      <c r="V1154" s="72"/>
    </row>
    <row r="1155" spans="1:22" s="63" customFormat="1" ht="22.5" x14ac:dyDescent="0.25">
      <c r="A1155" s="87">
        <v>9.75</v>
      </c>
      <c r="B1155" s="81" t="s">
        <v>51</v>
      </c>
      <c r="C1155" s="80">
        <v>26.2</v>
      </c>
      <c r="D1155" s="131" t="s">
        <v>1177</v>
      </c>
      <c r="E1155" s="83" t="s">
        <v>1178</v>
      </c>
      <c r="F1155" s="81" t="s">
        <v>370</v>
      </c>
      <c r="G1155" s="87">
        <v>1.18</v>
      </c>
      <c r="H1155" s="85"/>
      <c r="I1155" s="86">
        <v>2580.62</v>
      </c>
      <c r="J1155" s="185">
        <f t="shared" si="127"/>
        <v>2490.08</v>
      </c>
      <c r="K1155" s="189">
        <f t="shared" si="126"/>
        <v>2938.29</v>
      </c>
      <c r="L1155" s="189"/>
      <c r="M1155" s="138"/>
      <c r="N1155" s="138"/>
      <c r="O1155" s="138"/>
      <c r="S1155" s="72"/>
      <c r="T1155" s="72"/>
      <c r="U1155" s="72"/>
      <c r="V1155" s="72"/>
    </row>
    <row r="1156" spans="1:22" s="63" customFormat="1" ht="22.5" x14ac:dyDescent="0.25">
      <c r="A1156" s="87">
        <v>9.76</v>
      </c>
      <c r="B1156" s="81" t="s">
        <v>51</v>
      </c>
      <c r="C1156" s="80">
        <v>26.3</v>
      </c>
      <c r="D1156" s="131" t="s">
        <v>1179</v>
      </c>
      <c r="E1156" s="83" t="s">
        <v>1180</v>
      </c>
      <c r="F1156" s="81" t="s">
        <v>370</v>
      </c>
      <c r="G1156" s="87">
        <v>1.01</v>
      </c>
      <c r="H1156" s="85"/>
      <c r="I1156" s="86">
        <v>2084.2199999999998</v>
      </c>
      <c r="J1156" s="185">
        <f t="shared" si="127"/>
        <v>2349.6</v>
      </c>
      <c r="K1156" s="189">
        <f t="shared" si="126"/>
        <v>2373.1</v>
      </c>
      <c r="L1156" s="189"/>
      <c r="M1156" s="138"/>
      <c r="N1156" s="138"/>
      <c r="O1156" s="138"/>
      <c r="S1156" s="72"/>
      <c r="T1156" s="72"/>
      <c r="U1156" s="72"/>
      <c r="V1156" s="72"/>
    </row>
    <row r="1157" spans="1:22" s="63" customFormat="1" ht="22.5" x14ac:dyDescent="0.25">
      <c r="A1157" s="87">
        <v>9.77</v>
      </c>
      <c r="B1157" s="81" t="s">
        <v>51</v>
      </c>
      <c r="C1157" s="80">
        <v>26.4</v>
      </c>
      <c r="D1157" s="131" t="s">
        <v>1181</v>
      </c>
      <c r="E1157" s="83" t="s">
        <v>1182</v>
      </c>
      <c r="F1157" s="81" t="s">
        <v>370</v>
      </c>
      <c r="G1157" s="87">
        <v>0.94</v>
      </c>
      <c r="H1157" s="85"/>
      <c r="I1157" s="86">
        <v>1885.67</v>
      </c>
      <c r="J1157" s="185">
        <f t="shared" si="127"/>
        <v>2284.0700000000002</v>
      </c>
      <c r="K1157" s="189">
        <f t="shared" si="126"/>
        <v>2147.0300000000002</v>
      </c>
      <c r="L1157" s="189"/>
      <c r="M1157" s="138"/>
      <c r="N1157" s="138"/>
      <c r="O1157" s="138"/>
      <c r="S1157" s="72"/>
      <c r="T1157" s="72"/>
      <c r="U1157" s="72"/>
      <c r="V1157" s="72"/>
    </row>
    <row r="1158" spans="1:22" s="63" customFormat="1" ht="33.75" x14ac:dyDescent="0.25">
      <c r="A1158" s="87">
        <v>9.7799999999999994</v>
      </c>
      <c r="B1158" s="81" t="s">
        <v>51</v>
      </c>
      <c r="C1158" s="80">
        <v>26.5</v>
      </c>
      <c r="D1158" s="131" t="s">
        <v>1116</v>
      </c>
      <c r="E1158" s="83" t="s">
        <v>1117</v>
      </c>
      <c r="F1158" s="81" t="s">
        <v>226</v>
      </c>
      <c r="G1158" s="84">
        <v>5.5E-2</v>
      </c>
      <c r="H1158" s="85"/>
      <c r="I1158" s="86">
        <v>6191.31</v>
      </c>
      <c r="J1158" s="185">
        <f t="shared" si="127"/>
        <v>128171.37</v>
      </c>
      <c r="K1158" s="189">
        <f t="shared" si="126"/>
        <v>7049.43</v>
      </c>
      <c r="L1158" s="189"/>
      <c r="M1158" s="138"/>
      <c r="N1158" s="138"/>
      <c r="O1158" s="138"/>
      <c r="S1158" s="72"/>
      <c r="T1158" s="72"/>
      <c r="U1158" s="72"/>
      <c r="V1158" s="72"/>
    </row>
    <row r="1159" spans="1:22" s="63" customFormat="1" ht="22.5" x14ac:dyDescent="0.25">
      <c r="A1159" s="87">
        <v>9.7899999999999991</v>
      </c>
      <c r="B1159" s="81" t="s">
        <v>51</v>
      </c>
      <c r="C1159" s="82">
        <v>27</v>
      </c>
      <c r="D1159" s="131" t="s">
        <v>1118</v>
      </c>
      <c r="E1159" s="83" t="s">
        <v>1119</v>
      </c>
      <c r="F1159" s="81" t="s">
        <v>219</v>
      </c>
      <c r="G1159" s="82">
        <v>11</v>
      </c>
      <c r="H1159" s="85"/>
      <c r="I1159" s="86">
        <v>27514.28</v>
      </c>
      <c r="J1159" s="185">
        <f t="shared" si="127"/>
        <v>2847.98</v>
      </c>
      <c r="K1159" s="189">
        <f t="shared" si="126"/>
        <v>31327.78</v>
      </c>
      <c r="L1159" s="189"/>
      <c r="M1159" s="138"/>
      <c r="N1159" s="138"/>
      <c r="O1159" s="138"/>
      <c r="S1159" s="72"/>
      <c r="T1159" s="72"/>
      <c r="U1159" s="72"/>
      <c r="V1159" s="72"/>
    </row>
    <row r="1160" spans="1:22" s="63" customFormat="1" ht="22.5" x14ac:dyDescent="0.25">
      <c r="A1160" s="87">
        <v>9.8000000000000007</v>
      </c>
      <c r="B1160" s="81" t="s">
        <v>51</v>
      </c>
      <c r="C1160" s="80">
        <v>27.1</v>
      </c>
      <c r="D1160" s="131" t="s">
        <v>1120</v>
      </c>
      <c r="E1160" s="83" t="s">
        <v>1121</v>
      </c>
      <c r="F1160" s="81" t="s">
        <v>219</v>
      </c>
      <c r="G1160" s="82">
        <v>11</v>
      </c>
      <c r="H1160" s="85"/>
      <c r="I1160" s="86">
        <v>12433.69</v>
      </c>
      <c r="J1160" s="185">
        <f t="shared" si="127"/>
        <v>1287</v>
      </c>
      <c r="K1160" s="189">
        <f t="shared" si="126"/>
        <v>14157</v>
      </c>
      <c r="L1160" s="189"/>
      <c r="M1160" s="138"/>
      <c r="N1160" s="138"/>
      <c r="O1160" s="138"/>
      <c r="S1160" s="72"/>
      <c r="T1160" s="72"/>
      <c r="U1160" s="72"/>
      <c r="V1160" s="72"/>
    </row>
    <row r="1161" spans="1:22" s="63" customFormat="1" ht="15" x14ac:dyDescent="0.25">
      <c r="A1161" s="87">
        <v>9.81</v>
      </c>
      <c r="B1161" s="81" t="s">
        <v>51</v>
      </c>
      <c r="C1161" s="82">
        <v>28</v>
      </c>
      <c r="D1161" s="131" t="s">
        <v>1124</v>
      </c>
      <c r="E1161" s="83" t="s">
        <v>1125</v>
      </c>
      <c r="F1161" s="81" t="s">
        <v>219</v>
      </c>
      <c r="G1161" s="82">
        <v>11</v>
      </c>
      <c r="H1161" s="85"/>
      <c r="I1161" s="86">
        <v>88101.95</v>
      </c>
      <c r="J1161" s="185">
        <f t="shared" si="127"/>
        <v>9119.35</v>
      </c>
      <c r="K1161" s="189">
        <f t="shared" si="126"/>
        <v>100312.85</v>
      </c>
      <c r="L1161" s="189"/>
      <c r="M1161" s="138"/>
      <c r="N1161" s="138"/>
      <c r="O1161" s="138"/>
      <c r="S1161" s="72"/>
      <c r="T1161" s="72"/>
      <c r="U1161" s="72"/>
      <c r="V1161" s="72"/>
    </row>
    <row r="1162" spans="1:22" s="63" customFormat="1" ht="22.5" x14ac:dyDescent="0.25">
      <c r="A1162" s="87">
        <v>9.82</v>
      </c>
      <c r="B1162" s="81" t="s">
        <v>51</v>
      </c>
      <c r="C1162" s="80">
        <v>28.1</v>
      </c>
      <c r="D1162" s="131" t="s">
        <v>1071</v>
      </c>
      <c r="E1162" s="83" t="s">
        <v>1072</v>
      </c>
      <c r="F1162" s="81" t="s">
        <v>226</v>
      </c>
      <c r="G1162" s="89">
        <v>1.694E-2</v>
      </c>
      <c r="H1162" s="85"/>
      <c r="I1162" s="86">
        <v>2259.4299999999998</v>
      </c>
      <c r="J1162" s="185">
        <f t="shared" si="127"/>
        <v>151864.64000000001</v>
      </c>
      <c r="K1162" s="189">
        <f t="shared" si="126"/>
        <v>2572.59</v>
      </c>
      <c r="L1162" s="189"/>
      <c r="M1162" s="138"/>
      <c r="N1162" s="138"/>
      <c r="O1162" s="138"/>
      <c r="S1162" s="72"/>
      <c r="T1162" s="72"/>
      <c r="U1162" s="72"/>
      <c r="V1162" s="72"/>
    </row>
    <row r="1163" spans="1:22" s="63" customFormat="1" ht="22.5" x14ac:dyDescent="0.25">
      <c r="A1163" s="87">
        <v>9.83</v>
      </c>
      <c r="B1163" s="81" t="s">
        <v>51</v>
      </c>
      <c r="C1163" s="80">
        <v>28.2</v>
      </c>
      <c r="D1163" s="131" t="s">
        <v>1183</v>
      </c>
      <c r="E1163" s="83" t="s">
        <v>3579</v>
      </c>
      <c r="F1163" s="81" t="s">
        <v>219</v>
      </c>
      <c r="G1163" s="82">
        <v>8</v>
      </c>
      <c r="H1163" s="85"/>
      <c r="I1163" s="86">
        <v>13359.96</v>
      </c>
      <c r="J1163" s="185">
        <f t="shared" si="127"/>
        <v>1901.46</v>
      </c>
      <c r="K1163" s="189">
        <f t="shared" si="126"/>
        <v>15211.68</v>
      </c>
      <c r="L1163" s="189"/>
      <c r="M1163" s="138"/>
      <c r="N1163" s="138"/>
      <c r="O1163" s="138"/>
      <c r="S1163" s="72"/>
      <c r="T1163" s="72"/>
      <c r="U1163" s="72"/>
      <c r="V1163" s="72"/>
    </row>
    <row r="1164" spans="1:22" s="63" customFormat="1" ht="22.5" x14ac:dyDescent="0.25">
      <c r="A1164" s="87">
        <v>9.84</v>
      </c>
      <c r="B1164" s="81" t="s">
        <v>51</v>
      </c>
      <c r="C1164" s="80">
        <v>28.3</v>
      </c>
      <c r="D1164" s="131" t="s">
        <v>1184</v>
      </c>
      <c r="E1164" s="83" t="s">
        <v>3580</v>
      </c>
      <c r="F1164" s="81" t="s">
        <v>219</v>
      </c>
      <c r="G1164" s="82">
        <v>2</v>
      </c>
      <c r="H1164" s="85"/>
      <c r="I1164" s="86">
        <v>3574.02</v>
      </c>
      <c r="J1164" s="185">
        <f t="shared" si="127"/>
        <v>2034.69</v>
      </c>
      <c r="K1164" s="189">
        <f t="shared" si="126"/>
        <v>4069.38</v>
      </c>
      <c r="L1164" s="189"/>
      <c r="M1164" s="138"/>
      <c r="N1164" s="138"/>
      <c r="O1164" s="138"/>
      <c r="S1164" s="72"/>
      <c r="T1164" s="72"/>
      <c r="U1164" s="72"/>
      <c r="V1164" s="72"/>
    </row>
    <row r="1165" spans="1:22" s="63" customFormat="1" ht="22.5" x14ac:dyDescent="0.25">
      <c r="A1165" s="87">
        <v>9.85</v>
      </c>
      <c r="B1165" s="81" t="s">
        <v>51</v>
      </c>
      <c r="C1165" s="80">
        <v>28.4</v>
      </c>
      <c r="D1165" s="131" t="s">
        <v>1185</v>
      </c>
      <c r="E1165" s="83" t="s">
        <v>3581</v>
      </c>
      <c r="F1165" s="81" t="s">
        <v>219</v>
      </c>
      <c r="G1165" s="82">
        <v>1</v>
      </c>
      <c r="H1165" s="85"/>
      <c r="I1165" s="86">
        <v>2074.19</v>
      </c>
      <c r="J1165" s="185">
        <f t="shared" si="127"/>
        <v>2361.67</v>
      </c>
      <c r="K1165" s="189">
        <f t="shared" si="126"/>
        <v>2361.67</v>
      </c>
      <c r="L1165" s="189"/>
      <c r="M1165" s="138"/>
      <c r="N1165" s="138"/>
      <c r="O1165" s="138"/>
      <c r="S1165" s="72"/>
      <c r="T1165" s="72"/>
      <c r="U1165" s="72"/>
      <c r="V1165" s="72"/>
    </row>
    <row r="1166" spans="1:22" s="63" customFormat="1" ht="22.5" x14ac:dyDescent="0.25">
      <c r="A1166" s="87">
        <v>9.86</v>
      </c>
      <c r="B1166" s="81" t="s">
        <v>51</v>
      </c>
      <c r="C1166" s="82">
        <v>29</v>
      </c>
      <c r="D1166" s="131" t="s">
        <v>1186</v>
      </c>
      <c r="E1166" s="83" t="s">
        <v>1187</v>
      </c>
      <c r="F1166" s="81" t="s">
        <v>219</v>
      </c>
      <c r="G1166" s="82">
        <v>3</v>
      </c>
      <c r="H1166" s="85"/>
      <c r="I1166" s="86">
        <v>14039.5</v>
      </c>
      <c r="J1166" s="185">
        <f t="shared" si="127"/>
        <v>5328.46</v>
      </c>
      <c r="K1166" s="189">
        <f t="shared" si="126"/>
        <v>15985.38</v>
      </c>
      <c r="L1166" s="189"/>
      <c r="M1166" s="138"/>
      <c r="N1166" s="138"/>
      <c r="O1166" s="138"/>
      <c r="S1166" s="72"/>
      <c r="T1166" s="72"/>
      <c r="U1166" s="72"/>
      <c r="V1166" s="72"/>
    </row>
    <row r="1167" spans="1:22" s="63" customFormat="1" ht="22.5" x14ac:dyDescent="0.25">
      <c r="A1167" s="87">
        <v>9.8699999999999992</v>
      </c>
      <c r="B1167" s="81" t="s">
        <v>51</v>
      </c>
      <c r="C1167" s="80">
        <v>29.1</v>
      </c>
      <c r="D1167" s="131" t="s">
        <v>1137</v>
      </c>
      <c r="E1167" s="83" t="s">
        <v>1138</v>
      </c>
      <c r="F1167" s="81" t="s">
        <v>334</v>
      </c>
      <c r="G1167" s="80">
        <v>27.9</v>
      </c>
      <c r="H1167" s="85"/>
      <c r="I1167" s="86">
        <v>2980.48</v>
      </c>
      <c r="J1167" s="185">
        <f t="shared" si="127"/>
        <v>121.63</v>
      </c>
      <c r="K1167" s="189">
        <f t="shared" si="126"/>
        <v>3393.48</v>
      </c>
      <c r="L1167" s="189"/>
      <c r="M1167" s="138"/>
      <c r="N1167" s="138"/>
      <c r="O1167" s="138"/>
      <c r="S1167" s="72"/>
      <c r="T1167" s="72"/>
      <c r="U1167" s="72"/>
      <c r="V1167" s="72"/>
    </row>
    <row r="1168" spans="1:22" s="63" customFormat="1" ht="22.5" x14ac:dyDescent="0.25">
      <c r="A1168" s="87">
        <v>9.8800000000000008</v>
      </c>
      <c r="B1168" s="81" t="s">
        <v>51</v>
      </c>
      <c r="C1168" s="80">
        <v>29.2</v>
      </c>
      <c r="D1168" s="131" t="s">
        <v>1139</v>
      </c>
      <c r="E1168" s="83" t="s">
        <v>1140</v>
      </c>
      <c r="F1168" s="81" t="s">
        <v>566</v>
      </c>
      <c r="G1168" s="80">
        <v>0.6</v>
      </c>
      <c r="H1168" s="85"/>
      <c r="I1168" s="86">
        <v>1258.47</v>
      </c>
      <c r="J1168" s="185">
        <f t="shared" si="127"/>
        <v>2388.16</v>
      </c>
      <c r="K1168" s="189">
        <f t="shared" si="126"/>
        <v>1432.9</v>
      </c>
      <c r="L1168" s="189"/>
      <c r="M1168" s="138"/>
      <c r="N1168" s="138"/>
      <c r="O1168" s="138"/>
      <c r="S1168" s="72"/>
      <c r="T1168" s="72"/>
      <c r="U1168" s="72"/>
      <c r="V1168" s="72"/>
    </row>
    <row r="1169" spans="1:22" s="63" customFormat="1" ht="33.75" x14ac:dyDescent="0.25">
      <c r="A1169" s="87">
        <v>9.89</v>
      </c>
      <c r="B1169" s="81" t="s">
        <v>51</v>
      </c>
      <c r="C1169" s="80">
        <v>29.3</v>
      </c>
      <c r="D1169" s="131" t="s">
        <v>1188</v>
      </c>
      <c r="E1169" s="83" t="s">
        <v>3582</v>
      </c>
      <c r="F1169" s="81" t="s">
        <v>219</v>
      </c>
      <c r="G1169" s="82">
        <v>1</v>
      </c>
      <c r="H1169" s="85"/>
      <c r="I1169" s="86">
        <v>15683.06</v>
      </c>
      <c r="J1169" s="185">
        <f t="shared" si="127"/>
        <v>17856.73</v>
      </c>
      <c r="K1169" s="189">
        <f t="shared" si="126"/>
        <v>17856.73</v>
      </c>
      <c r="L1169" s="189"/>
      <c r="M1169" s="138"/>
      <c r="N1169" s="138"/>
      <c r="O1169" s="138"/>
      <c r="S1169" s="72"/>
      <c r="T1169" s="72"/>
      <c r="U1169" s="72"/>
      <c r="V1169" s="72"/>
    </row>
    <row r="1170" spans="1:22" s="63" customFormat="1" ht="33.75" x14ac:dyDescent="0.25">
      <c r="A1170" s="87">
        <v>9.9</v>
      </c>
      <c r="B1170" s="81" t="s">
        <v>51</v>
      </c>
      <c r="C1170" s="80">
        <v>29.4</v>
      </c>
      <c r="D1170" s="131" t="s">
        <v>1189</v>
      </c>
      <c r="E1170" s="83" t="s">
        <v>3583</v>
      </c>
      <c r="F1170" s="81" t="s">
        <v>219</v>
      </c>
      <c r="G1170" s="82">
        <v>1</v>
      </c>
      <c r="H1170" s="85"/>
      <c r="I1170" s="86">
        <v>15683.06</v>
      </c>
      <c r="J1170" s="185">
        <f t="shared" si="127"/>
        <v>17856.73</v>
      </c>
      <c r="K1170" s="189">
        <f t="shared" si="126"/>
        <v>17856.73</v>
      </c>
      <c r="L1170" s="189"/>
      <c r="M1170" s="138"/>
      <c r="N1170" s="138"/>
      <c r="O1170" s="138"/>
      <c r="S1170" s="72"/>
      <c r="T1170" s="72"/>
      <c r="U1170" s="72"/>
      <c r="V1170" s="72"/>
    </row>
    <row r="1171" spans="1:22" s="63" customFormat="1" ht="33.75" x14ac:dyDescent="0.25">
      <c r="A1171" s="87">
        <v>9.91</v>
      </c>
      <c r="B1171" s="81" t="s">
        <v>51</v>
      </c>
      <c r="C1171" s="80">
        <v>29.5</v>
      </c>
      <c r="D1171" s="131" t="s">
        <v>1190</v>
      </c>
      <c r="E1171" s="83" t="s">
        <v>3584</v>
      </c>
      <c r="F1171" s="81" t="s">
        <v>219</v>
      </c>
      <c r="G1171" s="82">
        <v>1</v>
      </c>
      <c r="H1171" s="85"/>
      <c r="I1171" s="86">
        <v>15683.06</v>
      </c>
      <c r="J1171" s="185">
        <f t="shared" si="127"/>
        <v>17856.73</v>
      </c>
      <c r="K1171" s="189">
        <f t="shared" si="126"/>
        <v>17856.73</v>
      </c>
      <c r="L1171" s="189"/>
      <c r="M1171" s="138"/>
      <c r="N1171" s="138"/>
      <c r="O1171" s="138"/>
      <c r="S1171" s="72"/>
      <c r="T1171" s="72"/>
      <c r="U1171" s="72"/>
      <c r="V1171" s="72"/>
    </row>
    <row r="1172" spans="1:22" s="63" customFormat="1" ht="22.5" x14ac:dyDescent="0.25">
      <c r="A1172" s="87">
        <v>9.92</v>
      </c>
      <c r="B1172" s="81" t="s">
        <v>51</v>
      </c>
      <c r="C1172" s="82">
        <v>30</v>
      </c>
      <c r="D1172" s="131" t="s">
        <v>1143</v>
      </c>
      <c r="E1172" s="83" t="s">
        <v>1144</v>
      </c>
      <c r="F1172" s="81" t="s">
        <v>219</v>
      </c>
      <c r="G1172" s="82">
        <v>1</v>
      </c>
      <c r="H1172" s="85"/>
      <c r="I1172" s="86">
        <v>1524.27</v>
      </c>
      <c r="J1172" s="185">
        <f t="shared" si="127"/>
        <v>1735.53</v>
      </c>
      <c r="K1172" s="189">
        <f t="shared" si="126"/>
        <v>1735.53</v>
      </c>
      <c r="L1172" s="189"/>
      <c r="M1172" s="138"/>
      <c r="N1172" s="138"/>
      <c r="O1172" s="138"/>
      <c r="S1172" s="72"/>
      <c r="T1172" s="72"/>
      <c r="U1172" s="72"/>
      <c r="V1172" s="72"/>
    </row>
    <row r="1173" spans="1:22" s="63" customFormat="1" ht="22.5" x14ac:dyDescent="0.25">
      <c r="A1173" s="87">
        <v>9.93</v>
      </c>
      <c r="B1173" s="81" t="s">
        <v>51</v>
      </c>
      <c r="C1173" s="80">
        <v>30.1</v>
      </c>
      <c r="D1173" s="131" t="s">
        <v>1191</v>
      </c>
      <c r="E1173" s="83" t="s">
        <v>3585</v>
      </c>
      <c r="F1173" s="81" t="s">
        <v>219</v>
      </c>
      <c r="G1173" s="82">
        <v>1</v>
      </c>
      <c r="H1173" s="85"/>
      <c r="I1173" s="86">
        <v>18072.04</v>
      </c>
      <c r="J1173" s="185">
        <f t="shared" si="127"/>
        <v>20576.82</v>
      </c>
      <c r="K1173" s="189">
        <f t="shared" si="126"/>
        <v>20576.82</v>
      </c>
      <c r="L1173" s="189"/>
      <c r="M1173" s="138"/>
      <c r="N1173" s="138"/>
      <c r="O1173" s="138"/>
      <c r="S1173" s="72"/>
      <c r="T1173" s="72"/>
      <c r="U1173" s="72"/>
      <c r="V1173" s="72"/>
    </row>
    <row r="1174" spans="1:22" s="63" customFormat="1" ht="22.5" x14ac:dyDescent="0.25">
      <c r="A1174" s="87">
        <v>9.94</v>
      </c>
      <c r="B1174" s="81" t="s">
        <v>51</v>
      </c>
      <c r="C1174" s="82">
        <v>31</v>
      </c>
      <c r="D1174" s="131" t="s">
        <v>1147</v>
      </c>
      <c r="E1174" s="83" t="s">
        <v>1148</v>
      </c>
      <c r="F1174" s="81" t="s">
        <v>207</v>
      </c>
      <c r="G1174" s="87">
        <v>0.24</v>
      </c>
      <c r="H1174" s="85"/>
      <c r="I1174" s="86">
        <v>8342.24</v>
      </c>
      <c r="J1174" s="185">
        <f t="shared" si="127"/>
        <v>39576.980000000003</v>
      </c>
      <c r="K1174" s="189">
        <f t="shared" si="126"/>
        <v>9498.48</v>
      </c>
      <c r="L1174" s="189"/>
      <c r="M1174" s="138"/>
      <c r="N1174" s="138"/>
      <c r="O1174" s="138"/>
      <c r="S1174" s="72"/>
      <c r="T1174" s="72"/>
      <c r="U1174" s="72"/>
      <c r="V1174" s="72"/>
    </row>
    <row r="1175" spans="1:22" s="63" customFormat="1" ht="22.5" x14ac:dyDescent="0.25">
      <c r="A1175" s="87">
        <v>9.9499999999999993</v>
      </c>
      <c r="B1175" s="81" t="s">
        <v>51</v>
      </c>
      <c r="C1175" s="80">
        <v>31.1</v>
      </c>
      <c r="D1175" s="131" t="s">
        <v>1149</v>
      </c>
      <c r="E1175" s="83" t="s">
        <v>1150</v>
      </c>
      <c r="F1175" s="81" t="s">
        <v>370</v>
      </c>
      <c r="G1175" s="80">
        <v>27.6</v>
      </c>
      <c r="H1175" s="85"/>
      <c r="I1175" s="86">
        <v>12256.89</v>
      </c>
      <c r="J1175" s="185">
        <f t="shared" si="127"/>
        <v>505.64</v>
      </c>
      <c r="K1175" s="189">
        <f t="shared" si="126"/>
        <v>13955.66</v>
      </c>
      <c r="L1175" s="189"/>
      <c r="M1175" s="138"/>
      <c r="N1175" s="138"/>
      <c r="O1175" s="138"/>
      <c r="S1175" s="72"/>
      <c r="T1175" s="72"/>
      <c r="U1175" s="72"/>
      <c r="V1175" s="72"/>
    </row>
    <row r="1176" spans="1:22" s="63" customFormat="1" ht="22.5" x14ac:dyDescent="0.25">
      <c r="A1176" s="87">
        <v>9.9600000000000009</v>
      </c>
      <c r="B1176" s="81" t="s">
        <v>51</v>
      </c>
      <c r="C1176" s="82">
        <v>32</v>
      </c>
      <c r="D1176" s="131" t="s">
        <v>1151</v>
      </c>
      <c r="E1176" s="83" t="s">
        <v>1152</v>
      </c>
      <c r="F1176" s="81" t="s">
        <v>205</v>
      </c>
      <c r="G1176" s="80">
        <v>1.5</v>
      </c>
      <c r="H1176" s="85"/>
      <c r="I1176" s="86">
        <v>38407.56</v>
      </c>
      <c r="J1176" s="185">
        <f t="shared" si="127"/>
        <v>29153.9</v>
      </c>
      <c r="K1176" s="189">
        <f t="shared" si="126"/>
        <v>43730.85</v>
      </c>
      <c r="L1176" s="189"/>
      <c r="M1176" s="138"/>
      <c r="N1176" s="138"/>
      <c r="O1176" s="138"/>
      <c r="S1176" s="72"/>
      <c r="T1176" s="72"/>
      <c r="U1176" s="72"/>
      <c r="V1176" s="72"/>
    </row>
    <row r="1177" spans="1:22" s="63" customFormat="1" ht="22.5" x14ac:dyDescent="0.25">
      <c r="A1177" s="87">
        <v>9.9700000000000006</v>
      </c>
      <c r="B1177" s="81" t="s">
        <v>51</v>
      </c>
      <c r="C1177" s="80">
        <v>32.1</v>
      </c>
      <c r="D1177" s="131" t="s">
        <v>1153</v>
      </c>
      <c r="E1177" s="83" t="s">
        <v>3573</v>
      </c>
      <c r="F1177" s="81" t="s">
        <v>370</v>
      </c>
      <c r="G1177" s="80">
        <v>52.5</v>
      </c>
      <c r="H1177" s="85"/>
      <c r="I1177" s="86">
        <v>18597.740000000002</v>
      </c>
      <c r="J1177" s="185">
        <f t="shared" si="127"/>
        <v>403.34</v>
      </c>
      <c r="K1177" s="189">
        <f t="shared" si="126"/>
        <v>21175.35</v>
      </c>
      <c r="L1177" s="189"/>
      <c r="M1177" s="138"/>
      <c r="N1177" s="138"/>
      <c r="O1177" s="138"/>
      <c r="S1177" s="72"/>
      <c r="T1177" s="72"/>
      <c r="U1177" s="72"/>
      <c r="V1177" s="72"/>
    </row>
    <row r="1178" spans="1:22" s="128" customFormat="1" ht="12.75" x14ac:dyDescent="0.25">
      <c r="A1178" s="237"/>
      <c r="B1178" s="125"/>
      <c r="C1178" s="236"/>
      <c r="D1178" s="77"/>
      <c r="E1178" s="126" t="s">
        <v>3292</v>
      </c>
      <c r="F1178" s="125"/>
      <c r="G1178" s="236"/>
      <c r="H1178" s="127"/>
      <c r="I1178" s="78"/>
      <c r="J1178" s="238"/>
      <c r="K1178" s="239"/>
      <c r="L1178" s="239"/>
      <c r="M1178" s="79"/>
      <c r="N1178" s="79"/>
      <c r="O1178" s="79"/>
      <c r="S1178" s="129"/>
      <c r="T1178" s="129"/>
      <c r="U1178" s="129"/>
      <c r="V1178" s="129"/>
    </row>
    <row r="1179" spans="1:22" s="63" customFormat="1" ht="22.5" x14ac:dyDescent="0.25">
      <c r="A1179" s="87">
        <v>9.98</v>
      </c>
      <c r="B1179" s="81" t="s">
        <v>51</v>
      </c>
      <c r="C1179" s="82">
        <v>33</v>
      </c>
      <c r="D1179" s="131" t="s">
        <v>1069</v>
      </c>
      <c r="E1179" s="83" t="s">
        <v>1070</v>
      </c>
      <c r="F1179" s="81" t="s">
        <v>219</v>
      </c>
      <c r="G1179" s="82">
        <v>1</v>
      </c>
      <c r="H1179" s="85"/>
      <c r="I1179" s="86">
        <v>70740.42</v>
      </c>
      <c r="J1179" s="185">
        <f>ROUND($I1179/$G1179*$N$11,2)</f>
        <v>80545.039999999994</v>
      </c>
      <c r="K1179" s="189">
        <f t="shared" ref="K1179:K1210" si="128">ROUND(G1179*J1179,2)</f>
        <v>80545.039999999994</v>
      </c>
      <c r="L1179" s="189"/>
      <c r="M1179" s="138"/>
      <c r="N1179" s="138"/>
      <c r="O1179" s="138"/>
      <c r="S1179" s="72"/>
      <c r="T1179" s="72"/>
      <c r="U1179" s="72"/>
      <c r="V1179" s="72"/>
    </row>
    <row r="1180" spans="1:22" s="63" customFormat="1" ht="22.5" x14ac:dyDescent="0.25">
      <c r="A1180" s="87">
        <v>9.99</v>
      </c>
      <c r="B1180" s="81" t="s">
        <v>51</v>
      </c>
      <c r="C1180" s="80">
        <v>33.1</v>
      </c>
      <c r="D1180" s="131" t="s">
        <v>1071</v>
      </c>
      <c r="E1180" s="83" t="s">
        <v>1072</v>
      </c>
      <c r="F1180" s="81" t="s">
        <v>226</v>
      </c>
      <c r="G1180" s="89">
        <v>9.6000000000000002E-4</v>
      </c>
      <c r="H1180" s="85"/>
      <c r="I1180" s="86">
        <v>128.05000000000001</v>
      </c>
      <c r="J1180" s="185">
        <f>ROUND($I1180/$G1180*$N$11,2)</f>
        <v>151872.64000000001</v>
      </c>
      <c r="K1180" s="189">
        <f t="shared" si="128"/>
        <v>145.80000000000001</v>
      </c>
      <c r="L1180" s="189"/>
      <c r="M1180" s="138"/>
      <c r="N1180" s="138"/>
      <c r="O1180" s="138"/>
      <c r="S1180" s="72"/>
      <c r="T1180" s="72"/>
      <c r="U1180" s="72"/>
      <c r="V1180" s="72"/>
    </row>
    <row r="1181" spans="1:22" s="63" customFormat="1" ht="22.5" x14ac:dyDescent="0.25">
      <c r="A1181" s="84">
        <v>9.1</v>
      </c>
      <c r="B1181" s="81" t="s">
        <v>51</v>
      </c>
      <c r="C1181" s="80">
        <v>33.200000000000003</v>
      </c>
      <c r="D1181" s="131" t="s">
        <v>1073</v>
      </c>
      <c r="E1181" s="83" t="s">
        <v>1074</v>
      </c>
      <c r="F1181" s="81" t="s">
        <v>210</v>
      </c>
      <c r="G1181" s="82">
        <v>1</v>
      </c>
      <c r="H1181" s="85"/>
      <c r="I1181" s="86">
        <v>181.68</v>
      </c>
      <c r="J1181" s="185">
        <f>ROUND($I1181/$G1181*$N$11,2)</f>
        <v>206.86</v>
      </c>
      <c r="K1181" s="189">
        <f t="shared" si="128"/>
        <v>206.86</v>
      </c>
      <c r="L1181" s="189"/>
      <c r="M1181" s="138"/>
      <c r="N1181" s="138"/>
      <c r="O1181" s="138"/>
      <c r="S1181" s="72"/>
      <c r="T1181" s="72"/>
      <c r="U1181" s="72"/>
      <c r="V1181" s="72"/>
    </row>
    <row r="1182" spans="1:22" s="63" customFormat="1" ht="22.5" x14ac:dyDescent="0.25">
      <c r="A1182" s="84">
        <v>9.1010000000000009</v>
      </c>
      <c r="B1182" s="81" t="s">
        <v>51</v>
      </c>
      <c r="C1182" s="80">
        <v>33.299999999999997</v>
      </c>
      <c r="D1182" s="131" t="s">
        <v>1075</v>
      </c>
      <c r="E1182" s="83" t="s">
        <v>1076</v>
      </c>
      <c r="F1182" s="81" t="s">
        <v>205</v>
      </c>
      <c r="G1182" s="84">
        <v>8.9999999999999993E-3</v>
      </c>
      <c r="H1182" s="85"/>
      <c r="I1182" s="86">
        <v>62.43</v>
      </c>
      <c r="J1182" s="185">
        <f>ROUND($I1182/$G1182*$N$11,2)</f>
        <v>7898.09</v>
      </c>
      <c r="K1182" s="189">
        <f t="shared" si="128"/>
        <v>71.08</v>
      </c>
      <c r="L1182" s="189"/>
      <c r="M1182" s="138"/>
      <c r="N1182" s="138"/>
      <c r="O1182" s="138"/>
      <c r="S1182" s="72"/>
      <c r="T1182" s="72"/>
      <c r="U1182" s="72"/>
      <c r="V1182" s="72"/>
    </row>
    <row r="1183" spans="1:22" s="63" customFormat="1" ht="22.5" x14ac:dyDescent="0.25">
      <c r="A1183" s="108">
        <v>9.1020000000000003</v>
      </c>
      <c r="B1183" s="102" t="s">
        <v>51</v>
      </c>
      <c r="C1183" s="103">
        <v>33.4</v>
      </c>
      <c r="D1183" s="167" t="s">
        <v>1192</v>
      </c>
      <c r="E1183" s="104" t="s">
        <v>3586</v>
      </c>
      <c r="F1183" s="102" t="s">
        <v>219</v>
      </c>
      <c r="G1183" s="105">
        <v>1</v>
      </c>
      <c r="H1183" s="106"/>
      <c r="I1183" s="107">
        <v>113179.25</v>
      </c>
      <c r="J1183" s="192">
        <f>ROUND($I1183/$G1183*$N$12,2)</f>
        <v>126590.99</v>
      </c>
      <c r="K1183" s="193">
        <f t="shared" si="128"/>
        <v>126590.99</v>
      </c>
      <c r="L1183" s="193"/>
      <c r="M1183" s="138"/>
      <c r="N1183" s="138"/>
      <c r="O1183" s="138"/>
      <c r="S1183" s="110"/>
      <c r="T1183" s="72"/>
      <c r="U1183" s="72"/>
      <c r="V1183" s="72"/>
    </row>
    <row r="1184" spans="1:22" s="63" customFormat="1" ht="22.5" x14ac:dyDescent="0.25">
      <c r="A1184" s="84">
        <v>9.1029999999999998</v>
      </c>
      <c r="B1184" s="81" t="s">
        <v>51</v>
      </c>
      <c r="C1184" s="82">
        <v>34</v>
      </c>
      <c r="D1184" s="131" t="s">
        <v>783</v>
      </c>
      <c r="E1184" s="83" t="s">
        <v>3587</v>
      </c>
      <c r="F1184" s="81" t="s">
        <v>219</v>
      </c>
      <c r="G1184" s="82">
        <v>1</v>
      </c>
      <c r="H1184" s="85"/>
      <c r="I1184" s="86">
        <v>3276.2</v>
      </c>
      <c r="J1184" s="185">
        <f>ROUND($I1184/$G1184*$N$11,2)</f>
        <v>3730.28</v>
      </c>
      <c r="K1184" s="189">
        <f t="shared" si="128"/>
        <v>3730.28</v>
      </c>
      <c r="L1184" s="189"/>
      <c r="M1184" s="138"/>
      <c r="N1184" s="138"/>
      <c r="O1184" s="138"/>
      <c r="S1184" s="72"/>
      <c r="T1184" s="72"/>
      <c r="U1184" s="72"/>
      <c r="V1184" s="72"/>
    </row>
    <row r="1185" spans="1:22" s="63" customFormat="1" ht="22.5" x14ac:dyDescent="0.25">
      <c r="A1185" s="108">
        <v>9.1039999999999992</v>
      </c>
      <c r="B1185" s="102" t="s">
        <v>51</v>
      </c>
      <c r="C1185" s="103">
        <v>34.1</v>
      </c>
      <c r="D1185" s="167" t="s">
        <v>1155</v>
      </c>
      <c r="E1185" s="104" t="s">
        <v>3564</v>
      </c>
      <c r="F1185" s="102" t="s">
        <v>219</v>
      </c>
      <c r="G1185" s="105">
        <v>1</v>
      </c>
      <c r="H1185" s="106"/>
      <c r="I1185" s="107">
        <v>53459.03</v>
      </c>
      <c r="J1185" s="192">
        <f>ROUND($I1185/$G1185*$N$12,2)</f>
        <v>59793.93</v>
      </c>
      <c r="K1185" s="193">
        <f t="shared" si="128"/>
        <v>59793.93</v>
      </c>
      <c r="L1185" s="193"/>
      <c r="M1185" s="138"/>
      <c r="N1185" s="138"/>
      <c r="O1185" s="138"/>
      <c r="S1185" s="110"/>
      <c r="T1185" s="72"/>
      <c r="U1185" s="72"/>
      <c r="V1185" s="72"/>
    </row>
    <row r="1186" spans="1:22" s="63" customFormat="1" ht="33.75" x14ac:dyDescent="0.25">
      <c r="A1186" s="84">
        <v>9.1050000000000004</v>
      </c>
      <c r="B1186" s="81" t="s">
        <v>51</v>
      </c>
      <c r="C1186" s="82">
        <v>35</v>
      </c>
      <c r="D1186" s="131" t="s">
        <v>1080</v>
      </c>
      <c r="E1186" s="83" t="s">
        <v>1081</v>
      </c>
      <c r="F1186" s="81" t="s">
        <v>219</v>
      </c>
      <c r="G1186" s="82">
        <v>1</v>
      </c>
      <c r="H1186" s="85"/>
      <c r="I1186" s="86">
        <v>2167.71</v>
      </c>
      <c r="J1186" s="185">
        <f>ROUND($I1186/$G1186*$N$11,2)</f>
        <v>2468.15</v>
      </c>
      <c r="K1186" s="189">
        <f t="shared" si="128"/>
        <v>2468.15</v>
      </c>
      <c r="L1186" s="189"/>
      <c r="M1186" s="138"/>
      <c r="N1186" s="138"/>
      <c r="O1186" s="138"/>
      <c r="S1186" s="72"/>
      <c r="T1186" s="72"/>
      <c r="U1186" s="72"/>
      <c r="V1186" s="72"/>
    </row>
    <row r="1187" spans="1:22" s="63" customFormat="1" ht="22.5" x14ac:dyDescent="0.25">
      <c r="A1187" s="108">
        <v>9.1059999999999999</v>
      </c>
      <c r="B1187" s="102" t="s">
        <v>51</v>
      </c>
      <c r="C1187" s="103">
        <v>35.1</v>
      </c>
      <c r="D1187" s="167" t="s">
        <v>1156</v>
      </c>
      <c r="E1187" s="104" t="s">
        <v>3575</v>
      </c>
      <c r="F1187" s="102" t="s">
        <v>219</v>
      </c>
      <c r="G1187" s="105">
        <v>1</v>
      </c>
      <c r="H1187" s="106"/>
      <c r="I1187" s="107">
        <v>26142.55</v>
      </c>
      <c r="J1187" s="192">
        <f>ROUND($I1187/$G1187*$N$12,2)</f>
        <v>29240.44</v>
      </c>
      <c r="K1187" s="193">
        <f t="shared" si="128"/>
        <v>29240.44</v>
      </c>
      <c r="L1187" s="193"/>
      <c r="M1187" s="138"/>
      <c r="N1187" s="138"/>
      <c r="O1187" s="138"/>
      <c r="S1187" s="110"/>
      <c r="T1187" s="72"/>
      <c r="U1187" s="72"/>
      <c r="V1187" s="72"/>
    </row>
    <row r="1188" spans="1:22" s="63" customFormat="1" ht="15" x14ac:dyDescent="0.25">
      <c r="A1188" s="84">
        <v>9.1069999999999993</v>
      </c>
      <c r="B1188" s="81" t="s">
        <v>51</v>
      </c>
      <c r="C1188" s="82">
        <v>36</v>
      </c>
      <c r="D1188" s="131" t="s">
        <v>1083</v>
      </c>
      <c r="E1188" s="83" t="s">
        <v>1084</v>
      </c>
      <c r="F1188" s="81" t="s">
        <v>566</v>
      </c>
      <c r="G1188" s="80">
        <v>0.1</v>
      </c>
      <c r="H1188" s="85"/>
      <c r="I1188" s="86">
        <v>3110.21</v>
      </c>
      <c r="J1188" s="185">
        <f>ROUND($I1188/$G1188*$N$11,2)</f>
        <v>35412.85</v>
      </c>
      <c r="K1188" s="189">
        <f t="shared" si="128"/>
        <v>3541.29</v>
      </c>
      <c r="L1188" s="189"/>
      <c r="M1188" s="138"/>
      <c r="N1188" s="138"/>
      <c r="O1188" s="138"/>
      <c r="S1188" s="72"/>
      <c r="T1188" s="72"/>
      <c r="U1188" s="72"/>
      <c r="V1188" s="72"/>
    </row>
    <row r="1189" spans="1:22" s="63" customFormat="1" ht="22.5" x14ac:dyDescent="0.25">
      <c r="A1189" s="108">
        <v>9.1080000000000005</v>
      </c>
      <c r="B1189" s="102" t="s">
        <v>51</v>
      </c>
      <c r="C1189" s="103">
        <v>36.1</v>
      </c>
      <c r="D1189" s="167" t="s">
        <v>1193</v>
      </c>
      <c r="E1189" s="104" t="s">
        <v>3588</v>
      </c>
      <c r="F1189" s="102" t="s">
        <v>219</v>
      </c>
      <c r="G1189" s="105">
        <v>1</v>
      </c>
      <c r="H1189" s="106"/>
      <c r="I1189" s="107">
        <v>49611.01</v>
      </c>
      <c r="J1189" s="192">
        <f>ROUND($I1189/$G1189*$N$12,2)</f>
        <v>55489.91</v>
      </c>
      <c r="K1189" s="193">
        <f t="shared" si="128"/>
        <v>55489.91</v>
      </c>
      <c r="L1189" s="193"/>
      <c r="M1189" s="138"/>
      <c r="N1189" s="138"/>
      <c r="O1189" s="138"/>
      <c r="S1189" s="110"/>
      <c r="T1189" s="72"/>
      <c r="U1189" s="72"/>
      <c r="V1189" s="72"/>
    </row>
    <row r="1190" spans="1:22" s="63" customFormat="1" ht="22.5" x14ac:dyDescent="0.25">
      <c r="A1190" s="84">
        <v>9.109</v>
      </c>
      <c r="B1190" s="81" t="s">
        <v>51</v>
      </c>
      <c r="C1190" s="82">
        <v>37</v>
      </c>
      <c r="D1190" s="131" t="s">
        <v>1086</v>
      </c>
      <c r="E1190" s="83" t="s">
        <v>1087</v>
      </c>
      <c r="F1190" s="81" t="s">
        <v>207</v>
      </c>
      <c r="G1190" s="84">
        <v>6.0000000000000001E-3</v>
      </c>
      <c r="H1190" s="85"/>
      <c r="I1190" s="86">
        <v>1125.3900000000001</v>
      </c>
      <c r="J1190" s="185">
        <f t="shared" ref="J1190:J1225" si="129">ROUND($I1190/$G1190*$N$11,2)</f>
        <v>213561.51</v>
      </c>
      <c r="K1190" s="189">
        <f t="shared" si="128"/>
        <v>1281.3699999999999</v>
      </c>
      <c r="L1190" s="189"/>
      <c r="M1190" s="138"/>
      <c r="N1190" s="138"/>
      <c r="O1190" s="138"/>
      <c r="S1190" s="72"/>
      <c r="T1190" s="72"/>
      <c r="U1190" s="72"/>
      <c r="V1190" s="72"/>
    </row>
    <row r="1191" spans="1:22" s="63" customFormat="1" ht="22.5" x14ac:dyDescent="0.25">
      <c r="A1191" s="84">
        <v>9.11</v>
      </c>
      <c r="B1191" s="81" t="s">
        <v>51</v>
      </c>
      <c r="C1191" s="80">
        <v>37.1</v>
      </c>
      <c r="D1191" s="131" t="s">
        <v>1088</v>
      </c>
      <c r="E1191" s="83" t="s">
        <v>1089</v>
      </c>
      <c r="F1191" s="81" t="s">
        <v>370</v>
      </c>
      <c r="G1191" s="80">
        <v>0.6</v>
      </c>
      <c r="H1191" s="85"/>
      <c r="I1191" s="86">
        <v>545.67999999999995</v>
      </c>
      <c r="J1191" s="185">
        <f t="shared" si="129"/>
        <v>1035.52</v>
      </c>
      <c r="K1191" s="189">
        <f t="shared" si="128"/>
        <v>621.30999999999995</v>
      </c>
      <c r="L1191" s="189"/>
      <c r="M1191" s="138"/>
      <c r="N1191" s="138"/>
      <c r="O1191" s="138"/>
      <c r="S1191" s="72"/>
      <c r="T1191" s="72"/>
      <c r="U1191" s="72"/>
      <c r="V1191" s="72"/>
    </row>
    <row r="1192" spans="1:22" s="63" customFormat="1" ht="22.5" x14ac:dyDescent="0.25">
      <c r="A1192" s="84">
        <v>9.1110000000000007</v>
      </c>
      <c r="B1192" s="81" t="s">
        <v>51</v>
      </c>
      <c r="C1192" s="82">
        <v>38</v>
      </c>
      <c r="D1192" s="131" t="s">
        <v>1158</v>
      </c>
      <c r="E1192" s="83" t="s">
        <v>1159</v>
      </c>
      <c r="F1192" s="81" t="s">
        <v>207</v>
      </c>
      <c r="G1192" s="84">
        <v>4.0000000000000001E-3</v>
      </c>
      <c r="H1192" s="85"/>
      <c r="I1192" s="86">
        <v>686.32</v>
      </c>
      <c r="J1192" s="185">
        <f t="shared" si="129"/>
        <v>195360.99</v>
      </c>
      <c r="K1192" s="189">
        <f t="shared" si="128"/>
        <v>781.44</v>
      </c>
      <c r="L1192" s="189"/>
      <c r="M1192" s="138"/>
      <c r="N1192" s="138"/>
      <c r="O1192" s="138"/>
      <c r="S1192" s="72"/>
      <c r="T1192" s="72"/>
      <c r="U1192" s="72"/>
      <c r="V1192" s="72"/>
    </row>
    <row r="1193" spans="1:22" s="63" customFormat="1" ht="22.5" x14ac:dyDescent="0.25">
      <c r="A1193" s="84">
        <v>9.1120000000000001</v>
      </c>
      <c r="B1193" s="81" t="s">
        <v>51</v>
      </c>
      <c r="C1193" s="80">
        <v>38.1</v>
      </c>
      <c r="D1193" s="131" t="s">
        <v>1160</v>
      </c>
      <c r="E1193" s="83" t="s">
        <v>1161</v>
      </c>
      <c r="F1193" s="81" t="s">
        <v>370</v>
      </c>
      <c r="G1193" s="80">
        <v>0.4</v>
      </c>
      <c r="H1193" s="85"/>
      <c r="I1193" s="86">
        <v>463.09</v>
      </c>
      <c r="J1193" s="185">
        <f t="shared" si="129"/>
        <v>1318.19</v>
      </c>
      <c r="K1193" s="189">
        <f t="shared" si="128"/>
        <v>527.28</v>
      </c>
      <c r="L1193" s="189"/>
      <c r="M1193" s="138"/>
      <c r="N1193" s="138"/>
      <c r="O1193" s="138"/>
      <c r="S1193" s="72"/>
      <c r="T1193" s="72"/>
      <c r="U1193" s="72"/>
      <c r="V1193" s="72"/>
    </row>
    <row r="1194" spans="1:22" s="63" customFormat="1" ht="22.5" x14ac:dyDescent="0.25">
      <c r="A1194" s="84">
        <v>9.1129999999999995</v>
      </c>
      <c r="B1194" s="81" t="s">
        <v>51</v>
      </c>
      <c r="C1194" s="82">
        <v>39</v>
      </c>
      <c r="D1194" s="131" t="s">
        <v>1194</v>
      </c>
      <c r="E1194" s="83" t="s">
        <v>1195</v>
      </c>
      <c r="F1194" s="81" t="s">
        <v>207</v>
      </c>
      <c r="G1194" s="84">
        <v>4.8000000000000001E-2</v>
      </c>
      <c r="H1194" s="85"/>
      <c r="I1194" s="86">
        <v>5469.35</v>
      </c>
      <c r="J1194" s="185">
        <f t="shared" si="129"/>
        <v>129737.54</v>
      </c>
      <c r="K1194" s="189">
        <f t="shared" si="128"/>
        <v>6227.4</v>
      </c>
      <c r="L1194" s="189"/>
      <c r="M1194" s="138"/>
      <c r="N1194" s="138"/>
      <c r="O1194" s="138"/>
      <c r="S1194" s="72"/>
      <c r="T1194" s="72"/>
      <c r="U1194" s="72"/>
      <c r="V1194" s="72"/>
    </row>
    <row r="1195" spans="1:22" s="63" customFormat="1" ht="33.75" x14ac:dyDescent="0.25">
      <c r="A1195" s="84">
        <v>9.1140000000000008</v>
      </c>
      <c r="B1195" s="81" t="s">
        <v>51</v>
      </c>
      <c r="C1195" s="80">
        <v>39.1</v>
      </c>
      <c r="D1195" s="131" t="s">
        <v>1108</v>
      </c>
      <c r="E1195" s="83" t="s">
        <v>3589</v>
      </c>
      <c r="F1195" s="81" t="s">
        <v>370</v>
      </c>
      <c r="G1195" s="80">
        <v>4.8</v>
      </c>
      <c r="H1195" s="85"/>
      <c r="I1195" s="86">
        <v>6065.57</v>
      </c>
      <c r="J1195" s="185">
        <f t="shared" si="129"/>
        <v>1438.8</v>
      </c>
      <c r="K1195" s="189">
        <f t="shared" si="128"/>
        <v>6906.24</v>
      </c>
      <c r="L1195" s="189"/>
      <c r="M1195" s="138"/>
      <c r="N1195" s="138"/>
      <c r="O1195" s="138"/>
      <c r="S1195" s="72"/>
      <c r="T1195" s="72"/>
      <c r="U1195" s="72"/>
      <c r="V1195" s="72"/>
    </row>
    <row r="1196" spans="1:22" s="63" customFormat="1" ht="33.75" x14ac:dyDescent="0.25">
      <c r="A1196" s="84">
        <v>9.1150000000000002</v>
      </c>
      <c r="B1196" s="81" t="s">
        <v>51</v>
      </c>
      <c r="C1196" s="82">
        <v>40</v>
      </c>
      <c r="D1196" s="131" t="s">
        <v>1164</v>
      </c>
      <c r="E1196" s="83" t="s">
        <v>1196</v>
      </c>
      <c r="F1196" s="81" t="s">
        <v>207</v>
      </c>
      <c r="G1196" s="87">
        <v>0.27</v>
      </c>
      <c r="H1196" s="85"/>
      <c r="I1196" s="86">
        <v>46367.17</v>
      </c>
      <c r="J1196" s="185">
        <f t="shared" si="129"/>
        <v>195532.07</v>
      </c>
      <c r="K1196" s="189">
        <f t="shared" si="128"/>
        <v>52793.66</v>
      </c>
      <c r="L1196" s="189"/>
      <c r="M1196" s="138"/>
      <c r="N1196" s="138"/>
      <c r="O1196" s="138"/>
      <c r="S1196" s="72"/>
      <c r="T1196" s="72"/>
      <c r="U1196" s="72"/>
      <c r="V1196" s="72"/>
    </row>
    <row r="1197" spans="1:22" s="63" customFormat="1" ht="33.75" x14ac:dyDescent="0.25">
      <c r="A1197" s="84">
        <v>9.1159999999999997</v>
      </c>
      <c r="B1197" s="81" t="s">
        <v>51</v>
      </c>
      <c r="C1197" s="80">
        <v>40.1</v>
      </c>
      <c r="D1197" s="131" t="s">
        <v>1108</v>
      </c>
      <c r="E1197" s="83" t="s">
        <v>3590</v>
      </c>
      <c r="F1197" s="81" t="s">
        <v>370</v>
      </c>
      <c r="G1197" s="82">
        <v>27</v>
      </c>
      <c r="H1197" s="85"/>
      <c r="I1197" s="86">
        <v>34119</v>
      </c>
      <c r="J1197" s="185">
        <f t="shared" si="129"/>
        <v>1438.81</v>
      </c>
      <c r="K1197" s="189">
        <f t="shared" si="128"/>
        <v>38847.870000000003</v>
      </c>
      <c r="L1197" s="189"/>
      <c r="M1197" s="138"/>
      <c r="N1197" s="138"/>
      <c r="O1197" s="138"/>
      <c r="S1197" s="72"/>
      <c r="T1197" s="72"/>
      <c r="U1197" s="72"/>
      <c r="V1197" s="72"/>
    </row>
    <row r="1198" spans="1:22" s="63" customFormat="1" ht="33.75" x14ac:dyDescent="0.25">
      <c r="A1198" s="84">
        <v>9.1170000000000009</v>
      </c>
      <c r="B1198" s="81" t="s">
        <v>51</v>
      </c>
      <c r="C1198" s="82">
        <v>41</v>
      </c>
      <c r="D1198" s="131" t="s">
        <v>1096</v>
      </c>
      <c r="E1198" s="83" t="s">
        <v>1197</v>
      </c>
      <c r="F1198" s="81" t="s">
        <v>207</v>
      </c>
      <c r="G1198" s="88">
        <v>1.12E-2</v>
      </c>
      <c r="H1198" s="85"/>
      <c r="I1198" s="86">
        <v>1269.7</v>
      </c>
      <c r="J1198" s="185">
        <f t="shared" si="129"/>
        <v>129078.61</v>
      </c>
      <c r="K1198" s="189">
        <f t="shared" si="128"/>
        <v>1445.68</v>
      </c>
      <c r="L1198" s="189"/>
      <c r="M1198" s="138"/>
      <c r="N1198" s="138"/>
      <c r="O1198" s="138"/>
      <c r="S1198" s="72"/>
      <c r="T1198" s="72"/>
      <c r="U1198" s="72"/>
      <c r="V1198" s="72"/>
    </row>
    <row r="1199" spans="1:22" s="63" customFormat="1" ht="33.75" x14ac:dyDescent="0.25">
      <c r="A1199" s="84">
        <v>9.1180000000000003</v>
      </c>
      <c r="B1199" s="81" t="s">
        <v>51</v>
      </c>
      <c r="C1199" s="80">
        <v>41.1</v>
      </c>
      <c r="D1199" s="131" t="s">
        <v>1108</v>
      </c>
      <c r="E1199" s="83" t="s">
        <v>3591</v>
      </c>
      <c r="F1199" s="81" t="s">
        <v>370</v>
      </c>
      <c r="G1199" s="87">
        <v>1.1200000000000001</v>
      </c>
      <c r="H1199" s="85"/>
      <c r="I1199" s="86">
        <v>1415.29</v>
      </c>
      <c r="J1199" s="185">
        <f t="shared" si="129"/>
        <v>1438.79</v>
      </c>
      <c r="K1199" s="189">
        <f t="shared" si="128"/>
        <v>1611.44</v>
      </c>
      <c r="L1199" s="189"/>
      <c r="M1199" s="138"/>
      <c r="N1199" s="138"/>
      <c r="O1199" s="138"/>
      <c r="S1199" s="72"/>
      <c r="T1199" s="72"/>
      <c r="U1199" s="72"/>
      <c r="V1199" s="72"/>
    </row>
    <row r="1200" spans="1:22" s="63" customFormat="1" ht="22.5" x14ac:dyDescent="0.25">
      <c r="A1200" s="84">
        <v>9.1189999999999998</v>
      </c>
      <c r="B1200" s="81" t="s">
        <v>51</v>
      </c>
      <c r="C1200" s="82">
        <v>42</v>
      </c>
      <c r="D1200" s="131" t="s">
        <v>1173</v>
      </c>
      <c r="E1200" s="83" t="s">
        <v>1174</v>
      </c>
      <c r="F1200" s="81" t="s">
        <v>207</v>
      </c>
      <c r="G1200" s="88">
        <v>4.0599999999999997E-2</v>
      </c>
      <c r="H1200" s="85"/>
      <c r="I1200" s="86">
        <v>7614.4</v>
      </c>
      <c r="J1200" s="185">
        <f t="shared" si="129"/>
        <v>213540.78</v>
      </c>
      <c r="K1200" s="189">
        <f t="shared" si="128"/>
        <v>8669.76</v>
      </c>
      <c r="L1200" s="189"/>
      <c r="M1200" s="138"/>
      <c r="N1200" s="138"/>
      <c r="O1200" s="138"/>
      <c r="S1200" s="72"/>
      <c r="T1200" s="72"/>
      <c r="U1200" s="72"/>
      <c r="V1200" s="72"/>
    </row>
    <row r="1201" spans="1:22" s="63" customFormat="1" ht="22.5" x14ac:dyDescent="0.25">
      <c r="A1201" s="84">
        <v>9.1199999999999992</v>
      </c>
      <c r="B1201" s="81" t="s">
        <v>51</v>
      </c>
      <c r="C1201" s="80">
        <v>42.1</v>
      </c>
      <c r="D1201" s="131" t="s">
        <v>1175</v>
      </c>
      <c r="E1201" s="83" t="s">
        <v>1176</v>
      </c>
      <c r="F1201" s="81" t="s">
        <v>370</v>
      </c>
      <c r="G1201" s="87">
        <v>2.2599999999999998</v>
      </c>
      <c r="H1201" s="85"/>
      <c r="I1201" s="86">
        <v>1932.47</v>
      </c>
      <c r="J1201" s="185">
        <f t="shared" si="129"/>
        <v>973.59</v>
      </c>
      <c r="K1201" s="189">
        <f t="shared" si="128"/>
        <v>2200.31</v>
      </c>
      <c r="L1201" s="189"/>
      <c r="M1201" s="138"/>
      <c r="N1201" s="138"/>
      <c r="O1201" s="138"/>
      <c r="S1201" s="72"/>
      <c r="T1201" s="72"/>
      <c r="U1201" s="72"/>
      <c r="V1201" s="72"/>
    </row>
    <row r="1202" spans="1:22" s="63" customFormat="1" ht="22.5" x14ac:dyDescent="0.25">
      <c r="A1202" s="84">
        <v>9.1210000000000004</v>
      </c>
      <c r="B1202" s="81" t="s">
        <v>51</v>
      </c>
      <c r="C1202" s="80">
        <v>42.2</v>
      </c>
      <c r="D1202" s="131" t="s">
        <v>1177</v>
      </c>
      <c r="E1202" s="83" t="s">
        <v>1178</v>
      </c>
      <c r="F1202" s="81" t="s">
        <v>370</v>
      </c>
      <c r="G1202" s="87">
        <v>0.79</v>
      </c>
      <c r="H1202" s="85"/>
      <c r="I1202" s="86">
        <v>1727.69</v>
      </c>
      <c r="J1202" s="185">
        <f t="shared" si="129"/>
        <v>2490.06</v>
      </c>
      <c r="K1202" s="189">
        <f t="shared" si="128"/>
        <v>1967.15</v>
      </c>
      <c r="L1202" s="189"/>
      <c r="M1202" s="138"/>
      <c r="N1202" s="138"/>
      <c r="O1202" s="138"/>
      <c r="S1202" s="72"/>
      <c r="T1202" s="72"/>
      <c r="U1202" s="72"/>
      <c r="V1202" s="72"/>
    </row>
    <row r="1203" spans="1:22" s="63" customFormat="1" ht="22.5" x14ac:dyDescent="0.25">
      <c r="A1203" s="84">
        <v>9.1219999999999999</v>
      </c>
      <c r="B1203" s="81" t="s">
        <v>51</v>
      </c>
      <c r="C1203" s="80">
        <v>42.3</v>
      </c>
      <c r="D1203" s="131" t="s">
        <v>1179</v>
      </c>
      <c r="E1203" s="83" t="s">
        <v>1180</v>
      </c>
      <c r="F1203" s="81" t="s">
        <v>370</v>
      </c>
      <c r="G1203" s="87">
        <v>1.01</v>
      </c>
      <c r="H1203" s="85"/>
      <c r="I1203" s="86">
        <v>2084.2199999999998</v>
      </c>
      <c r="J1203" s="185">
        <f t="shared" si="129"/>
        <v>2349.6</v>
      </c>
      <c r="K1203" s="189">
        <f t="shared" si="128"/>
        <v>2373.1</v>
      </c>
      <c r="L1203" s="189"/>
      <c r="M1203" s="138"/>
      <c r="N1203" s="138"/>
      <c r="O1203" s="138"/>
      <c r="S1203" s="72"/>
      <c r="T1203" s="72"/>
      <c r="U1203" s="72"/>
      <c r="V1203" s="72"/>
    </row>
    <row r="1204" spans="1:22" s="63" customFormat="1" ht="22.5" x14ac:dyDescent="0.25">
      <c r="A1204" s="84">
        <v>9.1229999999999993</v>
      </c>
      <c r="B1204" s="81" t="s">
        <v>51</v>
      </c>
      <c r="C1204" s="82">
        <v>43</v>
      </c>
      <c r="D1204" s="131" t="s">
        <v>1194</v>
      </c>
      <c r="E1204" s="83" t="s">
        <v>1198</v>
      </c>
      <c r="F1204" s="81" t="s">
        <v>207</v>
      </c>
      <c r="G1204" s="88">
        <v>2.3599999999999999E-2</v>
      </c>
      <c r="H1204" s="85"/>
      <c r="I1204" s="86">
        <v>2688.97</v>
      </c>
      <c r="J1204" s="185">
        <f t="shared" si="129"/>
        <v>129731.41</v>
      </c>
      <c r="K1204" s="189">
        <f t="shared" si="128"/>
        <v>3061.66</v>
      </c>
      <c r="L1204" s="189"/>
      <c r="M1204" s="138"/>
      <c r="N1204" s="138"/>
      <c r="O1204" s="138"/>
      <c r="S1204" s="72"/>
      <c r="T1204" s="72"/>
      <c r="U1204" s="72"/>
      <c r="V1204" s="72"/>
    </row>
    <row r="1205" spans="1:22" s="63" customFormat="1" ht="33.75" x14ac:dyDescent="0.25">
      <c r="A1205" s="84">
        <v>9.1240000000000006</v>
      </c>
      <c r="B1205" s="81" t="s">
        <v>51</v>
      </c>
      <c r="C1205" s="80">
        <v>43.1</v>
      </c>
      <c r="D1205" s="131" t="s">
        <v>1108</v>
      </c>
      <c r="E1205" s="83" t="s">
        <v>3592</v>
      </c>
      <c r="F1205" s="81" t="s">
        <v>370</v>
      </c>
      <c r="G1205" s="87">
        <v>2.36</v>
      </c>
      <c r="H1205" s="85"/>
      <c r="I1205" s="86">
        <v>2982.26</v>
      </c>
      <c r="J1205" s="185">
        <f t="shared" si="129"/>
        <v>1438.81</v>
      </c>
      <c r="K1205" s="189">
        <f t="shared" si="128"/>
        <v>3395.59</v>
      </c>
      <c r="L1205" s="189"/>
      <c r="M1205" s="138"/>
      <c r="N1205" s="138"/>
      <c r="O1205" s="138"/>
      <c r="S1205" s="72"/>
      <c r="T1205" s="72"/>
      <c r="U1205" s="72"/>
      <c r="V1205" s="72"/>
    </row>
    <row r="1206" spans="1:22" s="63" customFormat="1" ht="33.75" x14ac:dyDescent="0.25">
      <c r="A1206" s="84">
        <v>9.125</v>
      </c>
      <c r="B1206" s="81" t="s">
        <v>51</v>
      </c>
      <c r="C1206" s="80">
        <v>43.2</v>
      </c>
      <c r="D1206" s="131" t="s">
        <v>1116</v>
      </c>
      <c r="E1206" s="83" t="s">
        <v>1117</v>
      </c>
      <c r="F1206" s="81" t="s">
        <v>226</v>
      </c>
      <c r="G1206" s="84">
        <v>4.4999999999999998E-2</v>
      </c>
      <c r="H1206" s="85"/>
      <c r="I1206" s="86">
        <v>5065.68</v>
      </c>
      <c r="J1206" s="185">
        <f t="shared" si="129"/>
        <v>128172.96</v>
      </c>
      <c r="K1206" s="189">
        <f t="shared" si="128"/>
        <v>5767.78</v>
      </c>
      <c r="L1206" s="189"/>
      <c r="M1206" s="138"/>
      <c r="N1206" s="138"/>
      <c r="O1206" s="138"/>
      <c r="S1206" s="72"/>
      <c r="T1206" s="72"/>
      <c r="U1206" s="72"/>
      <c r="V1206" s="72"/>
    </row>
    <row r="1207" spans="1:22" s="63" customFormat="1" ht="22.5" x14ac:dyDescent="0.25">
      <c r="A1207" s="84">
        <v>9.1259999999999994</v>
      </c>
      <c r="B1207" s="81" t="s">
        <v>51</v>
      </c>
      <c r="C1207" s="82">
        <v>44</v>
      </c>
      <c r="D1207" s="131" t="s">
        <v>1118</v>
      </c>
      <c r="E1207" s="83" t="s">
        <v>1119</v>
      </c>
      <c r="F1207" s="81" t="s">
        <v>219</v>
      </c>
      <c r="G1207" s="82">
        <v>5</v>
      </c>
      <c r="H1207" s="85"/>
      <c r="I1207" s="86">
        <v>12506.49</v>
      </c>
      <c r="J1207" s="185">
        <f t="shared" si="129"/>
        <v>2847.98</v>
      </c>
      <c r="K1207" s="189">
        <f t="shared" si="128"/>
        <v>14239.9</v>
      </c>
      <c r="L1207" s="189"/>
      <c r="M1207" s="138"/>
      <c r="N1207" s="138"/>
      <c r="O1207" s="138"/>
      <c r="S1207" s="72"/>
      <c r="T1207" s="72"/>
      <c r="U1207" s="72"/>
      <c r="V1207" s="72"/>
    </row>
    <row r="1208" spans="1:22" s="63" customFormat="1" ht="22.5" x14ac:dyDescent="0.25">
      <c r="A1208" s="84">
        <v>9.1270000000000007</v>
      </c>
      <c r="B1208" s="81" t="s">
        <v>51</v>
      </c>
      <c r="C1208" s="80">
        <v>44.1</v>
      </c>
      <c r="D1208" s="131" t="s">
        <v>1120</v>
      </c>
      <c r="E1208" s="83" t="s">
        <v>1121</v>
      </c>
      <c r="F1208" s="81" t="s">
        <v>219</v>
      </c>
      <c r="G1208" s="82">
        <v>4</v>
      </c>
      <c r="H1208" s="85"/>
      <c r="I1208" s="86">
        <v>4521.34</v>
      </c>
      <c r="J1208" s="185">
        <f t="shared" si="129"/>
        <v>1287</v>
      </c>
      <c r="K1208" s="189">
        <f t="shared" si="128"/>
        <v>5148</v>
      </c>
      <c r="L1208" s="189"/>
      <c r="M1208" s="138"/>
      <c r="N1208" s="138"/>
      <c r="O1208" s="138"/>
      <c r="S1208" s="72"/>
      <c r="T1208" s="72"/>
      <c r="U1208" s="72"/>
      <c r="V1208" s="72"/>
    </row>
    <row r="1209" spans="1:22" s="63" customFormat="1" ht="22.5" x14ac:dyDescent="0.25">
      <c r="A1209" s="84">
        <v>9.1280000000000001</v>
      </c>
      <c r="B1209" s="81" t="s">
        <v>51</v>
      </c>
      <c r="C1209" s="80">
        <v>44.2</v>
      </c>
      <c r="D1209" s="131" t="s">
        <v>1199</v>
      </c>
      <c r="E1209" s="83" t="s">
        <v>1200</v>
      </c>
      <c r="F1209" s="81" t="s">
        <v>219</v>
      </c>
      <c r="G1209" s="82">
        <v>1</v>
      </c>
      <c r="H1209" s="85"/>
      <c r="I1209" s="86">
        <v>458.12</v>
      </c>
      <c r="J1209" s="185">
        <f t="shared" si="129"/>
        <v>521.62</v>
      </c>
      <c r="K1209" s="189">
        <f t="shared" si="128"/>
        <v>521.62</v>
      </c>
      <c r="L1209" s="189"/>
      <c r="M1209" s="138"/>
      <c r="N1209" s="138"/>
      <c r="O1209" s="138"/>
      <c r="S1209" s="72"/>
      <c r="T1209" s="72"/>
      <c r="U1209" s="72"/>
      <c r="V1209" s="72"/>
    </row>
    <row r="1210" spans="1:22" s="63" customFormat="1" ht="15" x14ac:dyDescent="0.25">
      <c r="A1210" s="84">
        <v>9.1289999999999996</v>
      </c>
      <c r="B1210" s="81" t="s">
        <v>51</v>
      </c>
      <c r="C1210" s="82">
        <v>45</v>
      </c>
      <c r="D1210" s="131" t="s">
        <v>1124</v>
      </c>
      <c r="E1210" s="83" t="s">
        <v>1125</v>
      </c>
      <c r="F1210" s="81" t="s">
        <v>219</v>
      </c>
      <c r="G1210" s="82">
        <v>4</v>
      </c>
      <c r="H1210" s="85"/>
      <c r="I1210" s="86">
        <v>32037.07</v>
      </c>
      <c r="J1210" s="185">
        <f t="shared" si="129"/>
        <v>9119.35</v>
      </c>
      <c r="K1210" s="189">
        <f t="shared" si="128"/>
        <v>36477.4</v>
      </c>
      <c r="L1210" s="189"/>
      <c r="M1210" s="138"/>
      <c r="N1210" s="138"/>
      <c r="O1210" s="138"/>
      <c r="S1210" s="72"/>
      <c r="T1210" s="72"/>
      <c r="U1210" s="72"/>
      <c r="V1210" s="72"/>
    </row>
    <row r="1211" spans="1:22" s="63" customFormat="1" ht="22.5" x14ac:dyDescent="0.25">
      <c r="A1211" s="84">
        <v>9.1300000000000008</v>
      </c>
      <c r="B1211" s="81" t="s">
        <v>51</v>
      </c>
      <c r="C1211" s="80">
        <v>45.1</v>
      </c>
      <c r="D1211" s="131" t="s">
        <v>1071</v>
      </c>
      <c r="E1211" s="83" t="s">
        <v>1072</v>
      </c>
      <c r="F1211" s="81" t="s">
        <v>226</v>
      </c>
      <c r="G1211" s="89">
        <v>6.1599999999999997E-3</v>
      </c>
      <c r="H1211" s="85"/>
      <c r="I1211" s="86">
        <v>821.58</v>
      </c>
      <c r="J1211" s="185">
        <f t="shared" si="129"/>
        <v>151858.93</v>
      </c>
      <c r="K1211" s="189">
        <f t="shared" ref="K1211:K1231" si="130">ROUND(G1211*J1211,2)</f>
        <v>935.45</v>
      </c>
      <c r="L1211" s="189"/>
      <c r="M1211" s="138"/>
      <c r="N1211" s="138"/>
      <c r="O1211" s="138"/>
      <c r="S1211" s="72"/>
      <c r="T1211" s="72"/>
      <c r="U1211" s="72"/>
      <c r="V1211" s="72"/>
    </row>
    <row r="1212" spans="1:22" s="63" customFormat="1" ht="22.5" x14ac:dyDescent="0.25">
      <c r="A1212" s="84">
        <v>9.1310000000000002</v>
      </c>
      <c r="B1212" s="81" t="s">
        <v>51</v>
      </c>
      <c r="C1212" s="80">
        <v>45.2</v>
      </c>
      <c r="D1212" s="131" t="s">
        <v>1183</v>
      </c>
      <c r="E1212" s="83" t="s">
        <v>3579</v>
      </c>
      <c r="F1212" s="81" t="s">
        <v>219</v>
      </c>
      <c r="G1212" s="82">
        <v>1</v>
      </c>
      <c r="H1212" s="85"/>
      <c r="I1212" s="86">
        <v>1669.97</v>
      </c>
      <c r="J1212" s="185">
        <f t="shared" si="129"/>
        <v>1901.43</v>
      </c>
      <c r="K1212" s="189">
        <f t="shared" si="130"/>
        <v>1901.43</v>
      </c>
      <c r="L1212" s="189"/>
      <c r="M1212" s="138"/>
      <c r="N1212" s="138"/>
      <c r="O1212" s="138"/>
      <c r="S1212" s="72"/>
      <c r="T1212" s="72"/>
      <c r="U1212" s="72"/>
      <c r="V1212" s="72"/>
    </row>
    <row r="1213" spans="1:22" s="63" customFormat="1" ht="22.5" x14ac:dyDescent="0.25">
      <c r="A1213" s="84">
        <v>9.1319999999999997</v>
      </c>
      <c r="B1213" s="81" t="s">
        <v>51</v>
      </c>
      <c r="C1213" s="80">
        <v>45.3</v>
      </c>
      <c r="D1213" s="131" t="s">
        <v>1184</v>
      </c>
      <c r="E1213" s="83" t="s">
        <v>3580</v>
      </c>
      <c r="F1213" s="81" t="s">
        <v>219</v>
      </c>
      <c r="G1213" s="82">
        <v>3</v>
      </c>
      <c r="H1213" s="85"/>
      <c r="I1213" s="86">
        <v>5361.03</v>
      </c>
      <c r="J1213" s="185">
        <f t="shared" si="129"/>
        <v>2034.69</v>
      </c>
      <c r="K1213" s="189">
        <f t="shared" si="130"/>
        <v>6104.07</v>
      </c>
      <c r="L1213" s="189"/>
      <c r="M1213" s="138"/>
      <c r="N1213" s="138"/>
      <c r="O1213" s="138"/>
      <c r="S1213" s="72"/>
      <c r="T1213" s="72"/>
      <c r="U1213" s="72"/>
      <c r="V1213" s="72"/>
    </row>
    <row r="1214" spans="1:22" s="63" customFormat="1" ht="15" x14ac:dyDescent="0.25">
      <c r="A1214" s="84">
        <v>9.1329999999999991</v>
      </c>
      <c r="B1214" s="81" t="s">
        <v>51</v>
      </c>
      <c r="C1214" s="82">
        <v>46</v>
      </c>
      <c r="D1214" s="131" t="s">
        <v>1127</v>
      </c>
      <c r="E1214" s="83" t="s">
        <v>1128</v>
      </c>
      <c r="F1214" s="81" t="s">
        <v>219</v>
      </c>
      <c r="G1214" s="82">
        <v>1</v>
      </c>
      <c r="H1214" s="85"/>
      <c r="I1214" s="86">
        <v>1664.09</v>
      </c>
      <c r="J1214" s="185">
        <f t="shared" si="129"/>
        <v>1894.73</v>
      </c>
      <c r="K1214" s="189">
        <f t="shared" si="130"/>
        <v>1894.73</v>
      </c>
      <c r="L1214" s="189"/>
      <c r="M1214" s="138"/>
      <c r="N1214" s="138"/>
      <c r="O1214" s="138"/>
      <c r="S1214" s="72"/>
      <c r="T1214" s="72"/>
      <c r="U1214" s="72"/>
      <c r="V1214" s="72"/>
    </row>
    <row r="1215" spans="1:22" s="63" customFormat="1" ht="22.5" x14ac:dyDescent="0.25">
      <c r="A1215" s="84">
        <v>9.1340000000000003</v>
      </c>
      <c r="B1215" s="81" t="s">
        <v>51</v>
      </c>
      <c r="C1215" s="80">
        <v>46.1</v>
      </c>
      <c r="D1215" s="131" t="s">
        <v>1201</v>
      </c>
      <c r="E1215" s="83" t="s">
        <v>1202</v>
      </c>
      <c r="F1215" s="81" t="s">
        <v>219</v>
      </c>
      <c r="G1215" s="82">
        <v>1</v>
      </c>
      <c r="H1215" s="85"/>
      <c r="I1215" s="86">
        <v>665.29</v>
      </c>
      <c r="J1215" s="185">
        <f t="shared" si="129"/>
        <v>757.5</v>
      </c>
      <c r="K1215" s="189">
        <f t="shared" si="130"/>
        <v>757.5</v>
      </c>
      <c r="L1215" s="189"/>
      <c r="M1215" s="138"/>
      <c r="N1215" s="138"/>
      <c r="O1215" s="138"/>
      <c r="S1215" s="72"/>
      <c r="T1215" s="72"/>
      <c r="U1215" s="72"/>
      <c r="V1215" s="72"/>
    </row>
    <row r="1216" spans="1:22" s="63" customFormat="1" ht="22.5" x14ac:dyDescent="0.25">
      <c r="A1216" s="84">
        <v>9.1349999999999998</v>
      </c>
      <c r="B1216" s="81" t="s">
        <v>51</v>
      </c>
      <c r="C1216" s="82">
        <v>47</v>
      </c>
      <c r="D1216" s="131" t="s">
        <v>1143</v>
      </c>
      <c r="E1216" s="83" t="s">
        <v>1144</v>
      </c>
      <c r="F1216" s="81" t="s">
        <v>219</v>
      </c>
      <c r="G1216" s="82">
        <v>1</v>
      </c>
      <c r="H1216" s="85"/>
      <c r="I1216" s="86">
        <v>1524.27</v>
      </c>
      <c r="J1216" s="185">
        <f t="shared" si="129"/>
        <v>1735.53</v>
      </c>
      <c r="K1216" s="189">
        <f t="shared" si="130"/>
        <v>1735.53</v>
      </c>
      <c r="L1216" s="189"/>
      <c r="M1216" s="138"/>
      <c r="N1216" s="138"/>
      <c r="O1216" s="138"/>
      <c r="S1216" s="72"/>
      <c r="T1216" s="72"/>
      <c r="U1216" s="72"/>
      <c r="V1216" s="72"/>
    </row>
    <row r="1217" spans="1:22" s="63" customFormat="1" ht="22.5" x14ac:dyDescent="0.25">
      <c r="A1217" s="84">
        <v>9.1359999999999992</v>
      </c>
      <c r="B1217" s="81" t="s">
        <v>51</v>
      </c>
      <c r="C1217" s="80">
        <v>47.1</v>
      </c>
      <c r="D1217" s="131" t="s">
        <v>1203</v>
      </c>
      <c r="E1217" s="83" t="s">
        <v>1204</v>
      </c>
      <c r="F1217" s="81" t="s">
        <v>219</v>
      </c>
      <c r="G1217" s="82">
        <v>1</v>
      </c>
      <c r="H1217" s="85"/>
      <c r="I1217" s="86">
        <v>3867.95</v>
      </c>
      <c r="J1217" s="185">
        <f t="shared" si="129"/>
        <v>4404.05</v>
      </c>
      <c r="K1217" s="189">
        <f t="shared" si="130"/>
        <v>4404.05</v>
      </c>
      <c r="L1217" s="189"/>
      <c r="M1217" s="138"/>
      <c r="N1217" s="138"/>
      <c r="O1217" s="138"/>
      <c r="S1217" s="72"/>
      <c r="T1217" s="72"/>
      <c r="U1217" s="72"/>
      <c r="V1217" s="72"/>
    </row>
    <row r="1218" spans="1:22" s="63" customFormat="1" ht="22.5" x14ac:dyDescent="0.25">
      <c r="A1218" s="84">
        <v>9.1370000000000005</v>
      </c>
      <c r="B1218" s="81" t="s">
        <v>51</v>
      </c>
      <c r="C1218" s="82">
        <v>48</v>
      </c>
      <c r="D1218" s="131" t="s">
        <v>1205</v>
      </c>
      <c r="E1218" s="83" t="s">
        <v>1206</v>
      </c>
      <c r="F1218" s="81" t="s">
        <v>219</v>
      </c>
      <c r="G1218" s="82">
        <v>1</v>
      </c>
      <c r="H1218" s="85"/>
      <c r="I1218" s="86">
        <v>1523.85</v>
      </c>
      <c r="J1218" s="185">
        <f t="shared" si="129"/>
        <v>1735.06</v>
      </c>
      <c r="K1218" s="189">
        <f t="shared" si="130"/>
        <v>1735.06</v>
      </c>
      <c r="L1218" s="189"/>
      <c r="M1218" s="138"/>
      <c r="N1218" s="138"/>
      <c r="O1218" s="138"/>
      <c r="S1218" s="72"/>
      <c r="T1218" s="72"/>
      <c r="U1218" s="72"/>
      <c r="V1218" s="72"/>
    </row>
    <row r="1219" spans="1:22" s="63" customFormat="1" ht="22.5" x14ac:dyDescent="0.25">
      <c r="A1219" s="84">
        <v>9.1379999999999999</v>
      </c>
      <c r="B1219" s="81" t="s">
        <v>51</v>
      </c>
      <c r="C1219" s="80">
        <v>48.1</v>
      </c>
      <c r="D1219" s="131" t="s">
        <v>1207</v>
      </c>
      <c r="E1219" s="83" t="s">
        <v>3593</v>
      </c>
      <c r="F1219" s="81" t="s">
        <v>219</v>
      </c>
      <c r="G1219" s="82">
        <v>1</v>
      </c>
      <c r="H1219" s="85"/>
      <c r="I1219" s="86">
        <v>1850.86</v>
      </c>
      <c r="J1219" s="185">
        <f t="shared" si="129"/>
        <v>2107.39</v>
      </c>
      <c r="K1219" s="189">
        <f t="shared" si="130"/>
        <v>2107.39</v>
      </c>
      <c r="L1219" s="189"/>
      <c r="M1219" s="138"/>
      <c r="N1219" s="138"/>
      <c r="O1219" s="138"/>
      <c r="S1219" s="72"/>
      <c r="T1219" s="72"/>
      <c r="U1219" s="72"/>
      <c r="V1219" s="72"/>
    </row>
    <row r="1220" spans="1:22" s="63" customFormat="1" ht="22.5" x14ac:dyDescent="0.25">
      <c r="A1220" s="84">
        <v>9.1389999999999993</v>
      </c>
      <c r="B1220" s="81" t="s">
        <v>51</v>
      </c>
      <c r="C1220" s="82">
        <v>49</v>
      </c>
      <c r="D1220" s="131" t="s">
        <v>1143</v>
      </c>
      <c r="E1220" s="83" t="s">
        <v>1144</v>
      </c>
      <c r="F1220" s="81" t="s">
        <v>219</v>
      </c>
      <c r="G1220" s="82">
        <v>1</v>
      </c>
      <c r="H1220" s="85"/>
      <c r="I1220" s="86">
        <v>1524.27</v>
      </c>
      <c r="J1220" s="185">
        <f t="shared" si="129"/>
        <v>1735.53</v>
      </c>
      <c r="K1220" s="189">
        <f t="shared" si="130"/>
        <v>1735.53</v>
      </c>
      <c r="L1220" s="189"/>
      <c r="M1220" s="138"/>
      <c r="N1220" s="138"/>
      <c r="O1220" s="138"/>
      <c r="S1220" s="72"/>
      <c r="T1220" s="72"/>
      <c r="U1220" s="72"/>
      <c r="V1220" s="72"/>
    </row>
    <row r="1221" spans="1:22" s="63" customFormat="1" ht="22.5" x14ac:dyDescent="0.25">
      <c r="A1221" s="111">
        <v>9.14</v>
      </c>
      <c r="B1221" s="112" t="s">
        <v>51</v>
      </c>
      <c r="C1221" s="113">
        <v>49.1</v>
      </c>
      <c r="D1221" s="168" t="s">
        <v>1208</v>
      </c>
      <c r="E1221" s="114" t="s">
        <v>1209</v>
      </c>
      <c r="F1221" s="112" t="s">
        <v>219</v>
      </c>
      <c r="G1221" s="115">
        <v>1</v>
      </c>
      <c r="H1221" s="116"/>
      <c r="I1221" s="117">
        <v>22736.53</v>
      </c>
      <c r="J1221" s="185">
        <f t="shared" si="129"/>
        <v>25887.81</v>
      </c>
      <c r="K1221" s="189">
        <f t="shared" si="130"/>
        <v>25887.81</v>
      </c>
      <c r="L1221" s="189"/>
      <c r="M1221" s="138"/>
      <c r="N1221" s="138"/>
      <c r="O1221" s="138"/>
      <c r="S1221" s="72"/>
      <c r="T1221" s="72"/>
      <c r="U1221" s="72"/>
      <c r="V1221" s="72"/>
    </row>
    <row r="1222" spans="1:22" s="63" customFormat="1" ht="22.5" x14ac:dyDescent="0.25">
      <c r="A1222" s="84">
        <v>9.141</v>
      </c>
      <c r="B1222" s="81" t="s">
        <v>51</v>
      </c>
      <c r="C1222" s="82">
        <v>50</v>
      </c>
      <c r="D1222" s="131" t="s">
        <v>1186</v>
      </c>
      <c r="E1222" s="83" t="s">
        <v>1187</v>
      </c>
      <c r="F1222" s="81" t="s">
        <v>219</v>
      </c>
      <c r="G1222" s="82">
        <v>3</v>
      </c>
      <c r="H1222" s="85"/>
      <c r="I1222" s="86">
        <v>14039.5</v>
      </c>
      <c r="J1222" s="185">
        <f t="shared" si="129"/>
        <v>5328.46</v>
      </c>
      <c r="K1222" s="189">
        <f t="shared" si="130"/>
        <v>15985.38</v>
      </c>
      <c r="L1222" s="189"/>
      <c r="M1222" s="138"/>
      <c r="N1222" s="138"/>
      <c r="O1222" s="138"/>
      <c r="S1222" s="72"/>
      <c r="T1222" s="72"/>
      <c r="U1222" s="72"/>
      <c r="V1222" s="72"/>
    </row>
    <row r="1223" spans="1:22" s="63" customFormat="1" ht="22.5" x14ac:dyDescent="0.25">
      <c r="A1223" s="84">
        <v>9.1419999999999995</v>
      </c>
      <c r="B1223" s="81" t="s">
        <v>51</v>
      </c>
      <c r="C1223" s="80">
        <v>50.1</v>
      </c>
      <c r="D1223" s="131" t="s">
        <v>1137</v>
      </c>
      <c r="E1223" s="83" t="s">
        <v>1138</v>
      </c>
      <c r="F1223" s="81" t="s">
        <v>334</v>
      </c>
      <c r="G1223" s="80">
        <v>27.9</v>
      </c>
      <c r="H1223" s="85"/>
      <c r="I1223" s="86">
        <v>2980.48</v>
      </c>
      <c r="J1223" s="185">
        <f t="shared" si="129"/>
        <v>121.63</v>
      </c>
      <c r="K1223" s="189">
        <f t="shared" si="130"/>
        <v>3393.48</v>
      </c>
      <c r="L1223" s="189"/>
      <c r="M1223" s="138"/>
      <c r="N1223" s="138"/>
      <c r="O1223" s="138"/>
      <c r="S1223" s="72"/>
      <c r="T1223" s="72"/>
      <c r="U1223" s="72"/>
      <c r="V1223" s="72"/>
    </row>
    <row r="1224" spans="1:22" s="63" customFormat="1" ht="22.5" x14ac:dyDescent="0.25">
      <c r="A1224" s="84">
        <v>9.1430000000000007</v>
      </c>
      <c r="B1224" s="81" t="s">
        <v>51</v>
      </c>
      <c r="C1224" s="80">
        <v>50.2</v>
      </c>
      <c r="D1224" s="131" t="s">
        <v>1139</v>
      </c>
      <c r="E1224" s="83" t="s">
        <v>1140</v>
      </c>
      <c r="F1224" s="81" t="s">
        <v>566</v>
      </c>
      <c r="G1224" s="80">
        <v>0.6</v>
      </c>
      <c r="H1224" s="85"/>
      <c r="I1224" s="86">
        <v>1258.47</v>
      </c>
      <c r="J1224" s="185">
        <f t="shared" si="129"/>
        <v>2388.16</v>
      </c>
      <c r="K1224" s="189">
        <f t="shared" si="130"/>
        <v>1432.9</v>
      </c>
      <c r="L1224" s="189"/>
      <c r="M1224" s="138"/>
      <c r="N1224" s="138"/>
      <c r="O1224" s="138"/>
      <c r="S1224" s="72"/>
      <c r="T1224" s="72"/>
      <c r="U1224" s="72"/>
      <c r="V1224" s="72"/>
    </row>
    <row r="1225" spans="1:22" s="63" customFormat="1" ht="22.5" x14ac:dyDescent="0.25">
      <c r="A1225" s="84">
        <v>9.1440000000000001</v>
      </c>
      <c r="B1225" s="81" t="s">
        <v>51</v>
      </c>
      <c r="C1225" s="80">
        <v>50.3</v>
      </c>
      <c r="D1225" s="131" t="s">
        <v>1210</v>
      </c>
      <c r="E1225" s="83" t="s">
        <v>3594</v>
      </c>
      <c r="F1225" s="81" t="s">
        <v>219</v>
      </c>
      <c r="G1225" s="82">
        <v>1</v>
      </c>
      <c r="H1225" s="85"/>
      <c r="I1225" s="86">
        <v>11612.29</v>
      </c>
      <c r="J1225" s="185">
        <f t="shared" si="129"/>
        <v>13221.75</v>
      </c>
      <c r="K1225" s="189">
        <f t="shared" si="130"/>
        <v>13221.75</v>
      </c>
      <c r="L1225" s="189"/>
      <c r="M1225" s="138"/>
      <c r="N1225" s="138"/>
      <c r="O1225" s="138"/>
      <c r="S1225" s="72"/>
      <c r="T1225" s="72"/>
      <c r="U1225" s="72"/>
      <c r="V1225" s="72"/>
    </row>
    <row r="1226" spans="1:22" s="63" customFormat="1" ht="22.5" x14ac:dyDescent="0.25">
      <c r="A1226" s="108">
        <v>9.1449999999999996</v>
      </c>
      <c r="B1226" s="102" t="s">
        <v>51</v>
      </c>
      <c r="C1226" s="103">
        <v>50.4</v>
      </c>
      <c r="D1226" s="167" t="s">
        <v>1211</v>
      </c>
      <c r="E1226" s="104" t="s">
        <v>1212</v>
      </c>
      <c r="F1226" s="102" t="s">
        <v>219</v>
      </c>
      <c r="G1226" s="105">
        <v>1</v>
      </c>
      <c r="H1226" s="106"/>
      <c r="I1226" s="107">
        <v>12982.65</v>
      </c>
      <c r="J1226" s="192">
        <f>ROUND($I1226/$G1226*$N$12,2)</f>
        <v>14521.09</v>
      </c>
      <c r="K1226" s="193">
        <f t="shared" si="130"/>
        <v>14521.09</v>
      </c>
      <c r="L1226" s="193"/>
      <c r="M1226" s="138"/>
      <c r="N1226" s="138"/>
      <c r="O1226" s="138"/>
      <c r="S1226" s="72"/>
      <c r="T1226" s="72"/>
      <c r="U1226" s="72"/>
      <c r="V1226" s="72"/>
    </row>
    <row r="1227" spans="1:22" s="63" customFormat="1" ht="22.5" x14ac:dyDescent="0.25">
      <c r="A1227" s="84">
        <v>9.1460000000000008</v>
      </c>
      <c r="B1227" s="81" t="s">
        <v>51</v>
      </c>
      <c r="C1227" s="80">
        <v>50.5</v>
      </c>
      <c r="D1227" s="131" t="s">
        <v>1213</v>
      </c>
      <c r="E1227" s="83" t="s">
        <v>3595</v>
      </c>
      <c r="F1227" s="81" t="s">
        <v>219</v>
      </c>
      <c r="G1227" s="82">
        <v>1</v>
      </c>
      <c r="H1227" s="85"/>
      <c r="I1227" s="86">
        <v>10279.49</v>
      </c>
      <c r="J1227" s="185">
        <f>ROUND($I1227/$G1227*$N$11,2)</f>
        <v>11704.23</v>
      </c>
      <c r="K1227" s="189">
        <f t="shared" si="130"/>
        <v>11704.23</v>
      </c>
      <c r="L1227" s="189"/>
      <c r="M1227" s="138"/>
      <c r="N1227" s="138"/>
      <c r="O1227" s="138"/>
      <c r="S1227" s="72"/>
      <c r="T1227" s="72"/>
      <c r="U1227" s="72"/>
      <c r="V1227" s="72"/>
    </row>
    <row r="1228" spans="1:22" s="63" customFormat="1" ht="22.5" x14ac:dyDescent="0.25">
      <c r="A1228" s="84">
        <v>9.1470000000000002</v>
      </c>
      <c r="B1228" s="81" t="s">
        <v>51</v>
      </c>
      <c r="C1228" s="82">
        <v>51</v>
      </c>
      <c r="D1228" s="131" t="s">
        <v>1147</v>
      </c>
      <c r="E1228" s="83" t="s">
        <v>1148</v>
      </c>
      <c r="F1228" s="81" t="s">
        <v>207</v>
      </c>
      <c r="G1228" s="84">
        <v>7.4999999999999997E-2</v>
      </c>
      <c r="H1228" s="85"/>
      <c r="I1228" s="86">
        <v>2606.7399999999998</v>
      </c>
      <c r="J1228" s="185">
        <f>ROUND($I1228/$G1228*$N$11,2)</f>
        <v>39573.79</v>
      </c>
      <c r="K1228" s="189">
        <f t="shared" si="130"/>
        <v>2968.03</v>
      </c>
      <c r="L1228" s="189"/>
      <c r="M1228" s="138"/>
      <c r="N1228" s="138"/>
      <c r="O1228" s="138"/>
      <c r="S1228" s="72"/>
      <c r="T1228" s="72"/>
      <c r="U1228" s="72"/>
      <c r="V1228" s="72"/>
    </row>
    <row r="1229" spans="1:22" s="63" customFormat="1" ht="22.5" x14ac:dyDescent="0.25">
      <c r="A1229" s="84">
        <v>9.1479999999999997</v>
      </c>
      <c r="B1229" s="81" t="s">
        <v>51</v>
      </c>
      <c r="C1229" s="80">
        <v>51.1</v>
      </c>
      <c r="D1229" s="131" t="s">
        <v>1149</v>
      </c>
      <c r="E1229" s="83" t="s">
        <v>1150</v>
      </c>
      <c r="F1229" s="81" t="s">
        <v>370</v>
      </c>
      <c r="G1229" s="84">
        <v>8.625</v>
      </c>
      <c r="H1229" s="85"/>
      <c r="I1229" s="86">
        <v>3830.3</v>
      </c>
      <c r="J1229" s="185">
        <f>ROUND($I1229/$G1229*$N$11,2)</f>
        <v>505.64</v>
      </c>
      <c r="K1229" s="189">
        <f t="shared" si="130"/>
        <v>4361.1499999999996</v>
      </c>
      <c r="L1229" s="189"/>
      <c r="M1229" s="138"/>
      <c r="N1229" s="138"/>
      <c r="O1229" s="138"/>
      <c r="S1229" s="72"/>
      <c r="T1229" s="72"/>
      <c r="U1229" s="72"/>
      <c r="V1229" s="72"/>
    </row>
    <row r="1230" spans="1:22" s="63" customFormat="1" ht="22.5" x14ac:dyDescent="0.25">
      <c r="A1230" s="84">
        <v>9.1489999999999991</v>
      </c>
      <c r="B1230" s="81" t="s">
        <v>51</v>
      </c>
      <c r="C1230" s="82">
        <v>52</v>
      </c>
      <c r="D1230" s="131" t="s">
        <v>1151</v>
      </c>
      <c r="E1230" s="83" t="s">
        <v>1152</v>
      </c>
      <c r="F1230" s="81" t="s">
        <v>205</v>
      </c>
      <c r="G1230" s="87">
        <v>1.26</v>
      </c>
      <c r="H1230" s="85"/>
      <c r="I1230" s="86">
        <v>32261.66</v>
      </c>
      <c r="J1230" s="185">
        <f>ROUND($I1230/$G1230*$N$11,2)</f>
        <v>29153.27</v>
      </c>
      <c r="K1230" s="189">
        <f t="shared" si="130"/>
        <v>36733.120000000003</v>
      </c>
      <c r="L1230" s="189"/>
      <c r="M1230" s="138"/>
      <c r="N1230" s="138"/>
      <c r="O1230" s="138"/>
      <c r="S1230" s="72"/>
      <c r="T1230" s="72"/>
      <c r="U1230" s="72"/>
      <c r="V1230" s="72"/>
    </row>
    <row r="1231" spans="1:22" s="63" customFormat="1" ht="22.5" x14ac:dyDescent="0.25">
      <c r="A1231" s="84">
        <v>9.15</v>
      </c>
      <c r="B1231" s="81" t="s">
        <v>51</v>
      </c>
      <c r="C1231" s="80">
        <v>52.1</v>
      </c>
      <c r="D1231" s="131" t="s">
        <v>1153</v>
      </c>
      <c r="E1231" s="83" t="s">
        <v>3573</v>
      </c>
      <c r="F1231" s="81" t="s">
        <v>370</v>
      </c>
      <c r="G1231" s="80">
        <v>44.1</v>
      </c>
      <c r="H1231" s="85"/>
      <c r="I1231" s="86">
        <v>15620.45</v>
      </c>
      <c r="J1231" s="185">
        <f>ROUND($I1231/$G1231*$N$11,2)</f>
        <v>403.3</v>
      </c>
      <c r="K1231" s="189">
        <f t="shared" si="130"/>
        <v>17785.53</v>
      </c>
      <c r="L1231" s="189"/>
      <c r="M1231" s="138"/>
      <c r="N1231" s="138"/>
      <c r="O1231" s="138"/>
      <c r="S1231" s="72"/>
      <c r="T1231" s="72"/>
      <c r="U1231" s="72"/>
      <c r="V1231" s="72"/>
    </row>
    <row r="1232" spans="1:22" s="128" customFormat="1" ht="12.75" x14ac:dyDescent="0.25">
      <c r="A1232" s="242"/>
      <c r="B1232" s="125"/>
      <c r="C1232" s="236"/>
      <c r="D1232" s="77"/>
      <c r="E1232" s="126" t="s">
        <v>3293</v>
      </c>
      <c r="F1232" s="125"/>
      <c r="G1232" s="236"/>
      <c r="H1232" s="127"/>
      <c r="I1232" s="78"/>
      <c r="J1232" s="238"/>
      <c r="K1232" s="239"/>
      <c r="L1232" s="239"/>
      <c r="M1232" s="79"/>
      <c r="N1232" s="79"/>
      <c r="O1232" s="79"/>
      <c r="S1232" s="129"/>
      <c r="T1232" s="129"/>
      <c r="U1232" s="129"/>
      <c r="V1232" s="129"/>
    </row>
    <row r="1233" spans="1:22" s="63" customFormat="1" ht="22.5" x14ac:dyDescent="0.25">
      <c r="A1233" s="84">
        <v>9.1509999999999998</v>
      </c>
      <c r="B1233" s="81" t="s">
        <v>51</v>
      </c>
      <c r="C1233" s="82">
        <v>53</v>
      </c>
      <c r="D1233" s="131" t="s">
        <v>1069</v>
      </c>
      <c r="E1233" s="83" t="s">
        <v>1070</v>
      </c>
      <c r="F1233" s="81" t="s">
        <v>219</v>
      </c>
      <c r="G1233" s="82">
        <v>1</v>
      </c>
      <c r="H1233" s="85"/>
      <c r="I1233" s="86">
        <v>70740.42</v>
      </c>
      <c r="J1233" s="185">
        <f>ROUND($I1233/$G1233*$N$11,2)</f>
        <v>80545.039999999994</v>
      </c>
      <c r="K1233" s="189">
        <f t="shared" ref="K1233:K1266" si="131">ROUND(G1233*J1233,2)</f>
        <v>80545.039999999994</v>
      </c>
      <c r="L1233" s="189"/>
      <c r="M1233" s="138"/>
      <c r="N1233" s="138"/>
      <c r="O1233" s="138"/>
      <c r="S1233" s="72"/>
      <c r="T1233" s="72"/>
      <c r="U1233" s="72"/>
      <c r="V1233" s="72"/>
    </row>
    <row r="1234" spans="1:22" s="63" customFormat="1" ht="22.5" x14ac:dyDescent="0.25">
      <c r="A1234" s="84">
        <v>9.1519999999999992</v>
      </c>
      <c r="B1234" s="81" t="s">
        <v>51</v>
      </c>
      <c r="C1234" s="80">
        <v>53.1</v>
      </c>
      <c r="D1234" s="131" t="s">
        <v>1071</v>
      </c>
      <c r="E1234" s="83" t="s">
        <v>1072</v>
      </c>
      <c r="F1234" s="81" t="s">
        <v>226</v>
      </c>
      <c r="G1234" s="89">
        <v>9.6000000000000002E-4</v>
      </c>
      <c r="H1234" s="85"/>
      <c r="I1234" s="86">
        <v>128.05000000000001</v>
      </c>
      <c r="J1234" s="185">
        <f>ROUND($I1234/$G1234*$N$11,2)</f>
        <v>151872.64000000001</v>
      </c>
      <c r="K1234" s="189">
        <f t="shared" si="131"/>
        <v>145.80000000000001</v>
      </c>
      <c r="L1234" s="189"/>
      <c r="M1234" s="138"/>
      <c r="N1234" s="138"/>
      <c r="O1234" s="138"/>
      <c r="S1234" s="72"/>
      <c r="T1234" s="72"/>
      <c r="U1234" s="72"/>
      <c r="V1234" s="72"/>
    </row>
    <row r="1235" spans="1:22" s="63" customFormat="1" ht="22.5" x14ac:dyDescent="0.25">
      <c r="A1235" s="84">
        <v>9.1530000000000005</v>
      </c>
      <c r="B1235" s="81" t="s">
        <v>51</v>
      </c>
      <c r="C1235" s="80">
        <v>53.2</v>
      </c>
      <c r="D1235" s="131" t="s">
        <v>1073</v>
      </c>
      <c r="E1235" s="83" t="s">
        <v>1074</v>
      </c>
      <c r="F1235" s="81" t="s">
        <v>210</v>
      </c>
      <c r="G1235" s="82">
        <v>1</v>
      </c>
      <c r="H1235" s="85"/>
      <c r="I1235" s="86">
        <v>181.68</v>
      </c>
      <c r="J1235" s="185">
        <f>ROUND($I1235/$G1235*$N$11,2)</f>
        <v>206.86</v>
      </c>
      <c r="K1235" s="189">
        <f t="shared" si="131"/>
        <v>206.86</v>
      </c>
      <c r="L1235" s="189"/>
      <c r="M1235" s="138"/>
      <c r="N1235" s="138"/>
      <c r="O1235" s="138"/>
      <c r="S1235" s="72"/>
      <c r="T1235" s="72"/>
      <c r="U1235" s="72"/>
      <c r="V1235" s="72"/>
    </row>
    <row r="1236" spans="1:22" s="63" customFormat="1" ht="22.5" x14ac:dyDescent="0.25">
      <c r="A1236" s="84">
        <v>9.1539999999999999</v>
      </c>
      <c r="B1236" s="81" t="s">
        <v>51</v>
      </c>
      <c r="C1236" s="80">
        <v>53.3</v>
      </c>
      <c r="D1236" s="131" t="s">
        <v>1075</v>
      </c>
      <c r="E1236" s="83" t="s">
        <v>1076</v>
      </c>
      <c r="F1236" s="81" t="s">
        <v>205</v>
      </c>
      <c r="G1236" s="84">
        <v>8.9999999999999993E-3</v>
      </c>
      <c r="H1236" s="85"/>
      <c r="I1236" s="86">
        <v>62.43</v>
      </c>
      <c r="J1236" s="185">
        <f>ROUND($I1236/$G1236*$N$11,2)</f>
        <v>7898.09</v>
      </c>
      <c r="K1236" s="189">
        <f t="shared" si="131"/>
        <v>71.08</v>
      </c>
      <c r="L1236" s="189"/>
      <c r="M1236" s="138"/>
      <c r="N1236" s="138"/>
      <c r="O1236" s="138"/>
      <c r="S1236" s="72"/>
      <c r="T1236" s="72"/>
      <c r="U1236" s="72"/>
      <c r="V1236" s="72"/>
    </row>
    <row r="1237" spans="1:22" s="63" customFormat="1" ht="22.5" x14ac:dyDescent="0.25">
      <c r="A1237" s="108">
        <v>9.1549999999999994</v>
      </c>
      <c r="B1237" s="102" t="s">
        <v>51</v>
      </c>
      <c r="C1237" s="103">
        <v>53.4</v>
      </c>
      <c r="D1237" s="167" t="s">
        <v>1192</v>
      </c>
      <c r="E1237" s="104" t="s">
        <v>3596</v>
      </c>
      <c r="F1237" s="102" t="s">
        <v>219</v>
      </c>
      <c r="G1237" s="105">
        <v>1</v>
      </c>
      <c r="H1237" s="106"/>
      <c r="I1237" s="107">
        <v>113179.25</v>
      </c>
      <c r="J1237" s="192">
        <f>ROUND($I1237/$G1237*$N$12,2)</f>
        <v>126590.99</v>
      </c>
      <c r="K1237" s="193">
        <f t="shared" si="131"/>
        <v>126590.99</v>
      </c>
      <c r="L1237" s="193"/>
      <c r="M1237" s="138"/>
      <c r="N1237" s="138"/>
      <c r="O1237" s="138"/>
      <c r="S1237" s="110"/>
      <c r="T1237" s="72"/>
      <c r="U1237" s="72"/>
      <c r="V1237" s="72"/>
    </row>
    <row r="1238" spans="1:22" s="63" customFormat="1" ht="22.5" x14ac:dyDescent="0.25">
      <c r="A1238" s="84">
        <v>9.1560000000000006</v>
      </c>
      <c r="B1238" s="81" t="s">
        <v>51</v>
      </c>
      <c r="C1238" s="82">
        <v>54</v>
      </c>
      <c r="D1238" s="131" t="s">
        <v>783</v>
      </c>
      <c r="E1238" s="83" t="s">
        <v>1078</v>
      </c>
      <c r="F1238" s="81" t="s">
        <v>219</v>
      </c>
      <c r="G1238" s="82">
        <v>1</v>
      </c>
      <c r="H1238" s="85"/>
      <c r="I1238" s="86">
        <v>3276.2</v>
      </c>
      <c r="J1238" s="185">
        <f>ROUND($I1238/$G1238*$N$11,2)</f>
        <v>3730.28</v>
      </c>
      <c r="K1238" s="189">
        <f t="shared" si="131"/>
        <v>3730.28</v>
      </c>
      <c r="L1238" s="189"/>
      <c r="M1238" s="138"/>
      <c r="N1238" s="138"/>
      <c r="O1238" s="138"/>
      <c r="S1238" s="72"/>
      <c r="T1238" s="72"/>
      <c r="U1238" s="72"/>
      <c r="V1238" s="72"/>
    </row>
    <row r="1239" spans="1:22" s="63" customFormat="1" ht="22.5" x14ac:dyDescent="0.25">
      <c r="A1239" s="108">
        <v>9.157</v>
      </c>
      <c r="B1239" s="102" t="s">
        <v>51</v>
      </c>
      <c r="C1239" s="103">
        <v>54.1</v>
      </c>
      <c r="D1239" s="167" t="s">
        <v>1155</v>
      </c>
      <c r="E1239" s="104" t="s">
        <v>3564</v>
      </c>
      <c r="F1239" s="102" t="s">
        <v>219</v>
      </c>
      <c r="G1239" s="105">
        <v>1</v>
      </c>
      <c r="H1239" s="106"/>
      <c r="I1239" s="107">
        <v>53459.03</v>
      </c>
      <c r="J1239" s="192">
        <f>ROUND($I1239/$G1239*$N$12,2)</f>
        <v>59793.93</v>
      </c>
      <c r="K1239" s="193">
        <f t="shared" si="131"/>
        <v>59793.93</v>
      </c>
      <c r="L1239" s="193"/>
      <c r="M1239" s="138"/>
      <c r="N1239" s="138"/>
      <c r="O1239" s="138"/>
      <c r="S1239" s="110"/>
      <c r="T1239" s="72"/>
      <c r="U1239" s="72"/>
      <c r="V1239" s="72"/>
    </row>
    <row r="1240" spans="1:22" s="63" customFormat="1" ht="33.75" x14ac:dyDescent="0.25">
      <c r="A1240" s="84">
        <v>9.1579999999999995</v>
      </c>
      <c r="B1240" s="81" t="s">
        <v>51</v>
      </c>
      <c r="C1240" s="82">
        <v>55</v>
      </c>
      <c r="D1240" s="131" t="s">
        <v>1080</v>
      </c>
      <c r="E1240" s="83" t="s">
        <v>1081</v>
      </c>
      <c r="F1240" s="81" t="s">
        <v>219</v>
      </c>
      <c r="G1240" s="82">
        <v>1</v>
      </c>
      <c r="H1240" s="85"/>
      <c r="I1240" s="86">
        <v>2167.71</v>
      </c>
      <c r="J1240" s="185">
        <f>ROUND($I1240/$G1240*$N$11,2)</f>
        <v>2468.15</v>
      </c>
      <c r="K1240" s="189">
        <f t="shared" si="131"/>
        <v>2468.15</v>
      </c>
      <c r="L1240" s="189"/>
      <c r="M1240" s="138"/>
      <c r="N1240" s="138"/>
      <c r="O1240" s="138"/>
      <c r="S1240" s="72"/>
      <c r="T1240" s="72"/>
      <c r="U1240" s="72"/>
      <c r="V1240" s="72"/>
    </row>
    <row r="1241" spans="1:22" s="63" customFormat="1" ht="22.5" x14ac:dyDescent="0.25">
      <c r="A1241" s="108">
        <v>9.1590000000000007</v>
      </c>
      <c r="B1241" s="102" t="s">
        <v>51</v>
      </c>
      <c r="C1241" s="103">
        <v>55.1</v>
      </c>
      <c r="D1241" s="167" t="s">
        <v>1156</v>
      </c>
      <c r="E1241" s="104" t="s">
        <v>3575</v>
      </c>
      <c r="F1241" s="102" t="s">
        <v>219</v>
      </c>
      <c r="G1241" s="105">
        <v>1</v>
      </c>
      <c r="H1241" s="106"/>
      <c r="I1241" s="107">
        <v>26142.55</v>
      </c>
      <c r="J1241" s="192">
        <f>ROUND($I1241/$G1241*$N$12,2)</f>
        <v>29240.44</v>
      </c>
      <c r="K1241" s="193">
        <f t="shared" si="131"/>
        <v>29240.44</v>
      </c>
      <c r="L1241" s="193"/>
      <c r="M1241" s="138"/>
      <c r="N1241" s="138"/>
      <c r="O1241" s="138"/>
      <c r="S1241" s="110"/>
      <c r="T1241" s="72"/>
      <c r="U1241" s="72"/>
      <c r="V1241" s="72"/>
    </row>
    <row r="1242" spans="1:22" s="63" customFormat="1" ht="15" x14ac:dyDescent="0.25">
      <c r="A1242" s="84">
        <v>9.16</v>
      </c>
      <c r="B1242" s="81" t="s">
        <v>51</v>
      </c>
      <c r="C1242" s="82">
        <v>56</v>
      </c>
      <c r="D1242" s="131" t="s">
        <v>1083</v>
      </c>
      <c r="E1242" s="83" t="s">
        <v>1084</v>
      </c>
      <c r="F1242" s="81" t="s">
        <v>566</v>
      </c>
      <c r="G1242" s="80">
        <v>0.1</v>
      </c>
      <c r="H1242" s="85"/>
      <c r="I1242" s="86">
        <v>3110.21</v>
      </c>
      <c r="J1242" s="185">
        <f>ROUND($I1242/$G1242*$N$11,2)</f>
        <v>35412.85</v>
      </c>
      <c r="K1242" s="189">
        <f t="shared" si="131"/>
        <v>3541.29</v>
      </c>
      <c r="L1242" s="189"/>
      <c r="M1242" s="138"/>
      <c r="N1242" s="138"/>
      <c r="O1242" s="138"/>
      <c r="S1242" s="72"/>
      <c r="T1242" s="72"/>
      <c r="U1242" s="72"/>
      <c r="V1242" s="72"/>
    </row>
    <row r="1243" spans="1:22" s="63" customFormat="1" ht="22.5" x14ac:dyDescent="0.25">
      <c r="A1243" s="108">
        <v>9.1609999999999996</v>
      </c>
      <c r="B1243" s="102" t="s">
        <v>51</v>
      </c>
      <c r="C1243" s="103">
        <v>56.1</v>
      </c>
      <c r="D1243" s="167" t="s">
        <v>1214</v>
      </c>
      <c r="E1243" s="104" t="s">
        <v>3588</v>
      </c>
      <c r="F1243" s="102" t="s">
        <v>219</v>
      </c>
      <c r="G1243" s="105">
        <v>1</v>
      </c>
      <c r="H1243" s="106"/>
      <c r="I1243" s="107">
        <v>49611.01</v>
      </c>
      <c r="J1243" s="192">
        <f>ROUND($I1243/$G1243*$N$12,2)</f>
        <v>55489.91</v>
      </c>
      <c r="K1243" s="193">
        <f t="shared" si="131"/>
        <v>55489.91</v>
      </c>
      <c r="L1243" s="193"/>
      <c r="M1243" s="138"/>
      <c r="N1243" s="138"/>
      <c r="O1243" s="138"/>
      <c r="S1243" s="110"/>
      <c r="T1243" s="72"/>
      <c r="U1243" s="72"/>
      <c r="V1243" s="72"/>
    </row>
    <row r="1244" spans="1:22" s="63" customFormat="1" ht="22.5" x14ac:dyDescent="0.25">
      <c r="A1244" s="84">
        <v>9.1620000000000008</v>
      </c>
      <c r="B1244" s="81" t="s">
        <v>51</v>
      </c>
      <c r="C1244" s="82">
        <v>57</v>
      </c>
      <c r="D1244" s="131" t="s">
        <v>1158</v>
      </c>
      <c r="E1244" s="83" t="s">
        <v>1159</v>
      </c>
      <c r="F1244" s="81" t="s">
        <v>207</v>
      </c>
      <c r="G1244" s="84">
        <v>1.4999999999999999E-2</v>
      </c>
      <c r="H1244" s="85"/>
      <c r="I1244" s="86">
        <v>2701.16</v>
      </c>
      <c r="J1244" s="185">
        <f t="shared" ref="J1244:J1266" si="132">ROUND($I1244/$G1244*$N$11,2)</f>
        <v>205036.05</v>
      </c>
      <c r="K1244" s="189">
        <f t="shared" si="131"/>
        <v>3075.54</v>
      </c>
      <c r="L1244" s="189"/>
      <c r="M1244" s="138"/>
      <c r="N1244" s="138"/>
      <c r="O1244" s="138"/>
      <c r="S1244" s="72"/>
      <c r="T1244" s="72"/>
      <c r="U1244" s="72"/>
      <c r="V1244" s="72"/>
    </row>
    <row r="1245" spans="1:22" s="63" customFormat="1" ht="22.5" x14ac:dyDescent="0.25">
      <c r="A1245" s="84">
        <v>9.1630000000000003</v>
      </c>
      <c r="B1245" s="81" t="s">
        <v>51</v>
      </c>
      <c r="C1245" s="80">
        <v>57.1</v>
      </c>
      <c r="D1245" s="131" t="s">
        <v>1215</v>
      </c>
      <c r="E1245" s="83" t="s">
        <v>1216</v>
      </c>
      <c r="F1245" s="81" t="s">
        <v>370</v>
      </c>
      <c r="G1245" s="80">
        <v>1.5</v>
      </c>
      <c r="H1245" s="85"/>
      <c r="I1245" s="86">
        <v>1682.76</v>
      </c>
      <c r="J1245" s="185">
        <f t="shared" si="132"/>
        <v>1277.33</v>
      </c>
      <c r="K1245" s="189">
        <f t="shared" si="131"/>
        <v>1916</v>
      </c>
      <c r="L1245" s="189"/>
      <c r="M1245" s="138"/>
      <c r="N1245" s="138"/>
      <c r="O1245" s="138"/>
      <c r="S1245" s="72"/>
      <c r="T1245" s="72"/>
      <c r="U1245" s="72"/>
      <c r="V1245" s="72"/>
    </row>
    <row r="1246" spans="1:22" s="63" customFormat="1" ht="33.75" x14ac:dyDescent="0.25">
      <c r="A1246" s="84">
        <v>9.1639999999999997</v>
      </c>
      <c r="B1246" s="81" t="s">
        <v>51</v>
      </c>
      <c r="C1246" s="82">
        <v>58</v>
      </c>
      <c r="D1246" s="131" t="s">
        <v>1164</v>
      </c>
      <c r="E1246" s="83" t="s">
        <v>1196</v>
      </c>
      <c r="F1246" s="81" t="s">
        <v>207</v>
      </c>
      <c r="G1246" s="87">
        <v>0.32</v>
      </c>
      <c r="H1246" s="85"/>
      <c r="I1246" s="86">
        <v>54952.66</v>
      </c>
      <c r="J1246" s="185">
        <f t="shared" si="132"/>
        <v>195528.43</v>
      </c>
      <c r="K1246" s="189">
        <f t="shared" si="131"/>
        <v>62569.1</v>
      </c>
      <c r="L1246" s="189"/>
      <c r="M1246" s="138"/>
      <c r="N1246" s="138"/>
      <c r="O1246" s="138"/>
      <c r="S1246" s="72"/>
      <c r="T1246" s="72"/>
      <c r="U1246" s="72"/>
      <c r="V1246" s="72"/>
    </row>
    <row r="1247" spans="1:22" s="63" customFormat="1" ht="33.75" x14ac:dyDescent="0.25">
      <c r="A1247" s="84">
        <v>9.1649999999999991</v>
      </c>
      <c r="B1247" s="81" t="s">
        <v>51</v>
      </c>
      <c r="C1247" s="80">
        <v>58.1</v>
      </c>
      <c r="D1247" s="131" t="s">
        <v>1108</v>
      </c>
      <c r="E1247" s="83" t="s">
        <v>3597</v>
      </c>
      <c r="F1247" s="81" t="s">
        <v>370</v>
      </c>
      <c r="G1247" s="82">
        <v>32</v>
      </c>
      <c r="H1247" s="85"/>
      <c r="I1247" s="86">
        <v>40437.39</v>
      </c>
      <c r="J1247" s="185">
        <f t="shared" si="132"/>
        <v>1438.81</v>
      </c>
      <c r="K1247" s="189">
        <f t="shared" si="131"/>
        <v>46041.919999999998</v>
      </c>
      <c r="L1247" s="189"/>
      <c r="M1247" s="138"/>
      <c r="N1247" s="138"/>
      <c r="O1247" s="138"/>
      <c r="S1247" s="72"/>
      <c r="T1247" s="72"/>
      <c r="U1247" s="72"/>
      <c r="V1247" s="72"/>
    </row>
    <row r="1248" spans="1:22" s="63" customFormat="1" ht="33.75" x14ac:dyDescent="0.25">
      <c r="A1248" s="84">
        <v>9.1660000000000004</v>
      </c>
      <c r="B1248" s="81" t="s">
        <v>51</v>
      </c>
      <c r="C1248" s="82">
        <v>59</v>
      </c>
      <c r="D1248" s="131" t="s">
        <v>1096</v>
      </c>
      <c r="E1248" s="83" t="s">
        <v>1217</v>
      </c>
      <c r="F1248" s="81" t="s">
        <v>207</v>
      </c>
      <c r="G1248" s="88">
        <v>1.12E-2</v>
      </c>
      <c r="H1248" s="85"/>
      <c r="I1248" s="86">
        <v>1269.7</v>
      </c>
      <c r="J1248" s="185">
        <f t="shared" si="132"/>
        <v>129078.61</v>
      </c>
      <c r="K1248" s="189">
        <f t="shared" si="131"/>
        <v>1445.68</v>
      </c>
      <c r="L1248" s="189"/>
      <c r="M1248" s="138"/>
      <c r="N1248" s="138"/>
      <c r="O1248" s="138"/>
      <c r="S1248" s="72"/>
      <c r="T1248" s="72"/>
      <c r="U1248" s="72"/>
      <c r="V1248" s="72"/>
    </row>
    <row r="1249" spans="1:22" s="63" customFormat="1" ht="33.75" x14ac:dyDescent="0.25">
      <c r="A1249" s="84">
        <v>9.1669999999999998</v>
      </c>
      <c r="B1249" s="81" t="s">
        <v>51</v>
      </c>
      <c r="C1249" s="80">
        <v>59.1</v>
      </c>
      <c r="D1249" s="131" t="s">
        <v>1108</v>
      </c>
      <c r="E1249" s="83" t="s">
        <v>3598</v>
      </c>
      <c r="F1249" s="81" t="s">
        <v>370</v>
      </c>
      <c r="G1249" s="87">
        <v>1.1200000000000001</v>
      </c>
      <c r="H1249" s="85"/>
      <c r="I1249" s="86">
        <v>1415.29</v>
      </c>
      <c r="J1249" s="185">
        <f t="shared" si="132"/>
        <v>1438.79</v>
      </c>
      <c r="K1249" s="189">
        <f t="shared" si="131"/>
        <v>1611.44</v>
      </c>
      <c r="L1249" s="189"/>
      <c r="M1249" s="138"/>
      <c r="N1249" s="138"/>
      <c r="O1249" s="138"/>
      <c r="S1249" s="72"/>
      <c r="T1249" s="72"/>
      <c r="U1249" s="72"/>
      <c r="V1249" s="72"/>
    </row>
    <row r="1250" spans="1:22" s="63" customFormat="1" ht="22.5" x14ac:dyDescent="0.25">
      <c r="A1250" s="84">
        <v>9.1679999999999993</v>
      </c>
      <c r="B1250" s="81" t="s">
        <v>51</v>
      </c>
      <c r="C1250" s="82">
        <v>60</v>
      </c>
      <c r="D1250" s="131" t="s">
        <v>1173</v>
      </c>
      <c r="E1250" s="83" t="s">
        <v>1174</v>
      </c>
      <c r="F1250" s="81" t="s">
        <v>207</v>
      </c>
      <c r="G1250" s="88">
        <v>1.32E-2</v>
      </c>
      <c r="H1250" s="85"/>
      <c r="I1250" s="86">
        <v>2476.5300000000002</v>
      </c>
      <c r="J1250" s="185">
        <f t="shared" si="132"/>
        <v>213619.47</v>
      </c>
      <c r="K1250" s="189">
        <f t="shared" si="131"/>
        <v>2819.78</v>
      </c>
      <c r="L1250" s="189"/>
      <c r="M1250" s="138"/>
      <c r="N1250" s="138"/>
      <c r="O1250" s="138"/>
      <c r="S1250" s="72"/>
      <c r="T1250" s="72"/>
      <c r="U1250" s="72"/>
      <c r="V1250" s="72"/>
    </row>
    <row r="1251" spans="1:22" s="63" customFormat="1" ht="22.5" x14ac:dyDescent="0.25">
      <c r="A1251" s="84">
        <v>9.1690000000000005</v>
      </c>
      <c r="B1251" s="81" t="s">
        <v>51</v>
      </c>
      <c r="C1251" s="80">
        <v>60.1</v>
      </c>
      <c r="D1251" s="131" t="s">
        <v>1175</v>
      </c>
      <c r="E1251" s="83" t="s">
        <v>1176</v>
      </c>
      <c r="F1251" s="81" t="s">
        <v>370</v>
      </c>
      <c r="G1251" s="87">
        <v>0.94</v>
      </c>
      <c r="H1251" s="85"/>
      <c r="I1251" s="86">
        <v>803.73</v>
      </c>
      <c r="J1251" s="185">
        <f t="shared" si="132"/>
        <v>973.54</v>
      </c>
      <c r="K1251" s="189">
        <f t="shared" si="131"/>
        <v>915.13</v>
      </c>
      <c r="L1251" s="189"/>
      <c r="M1251" s="138"/>
      <c r="N1251" s="138"/>
      <c r="O1251" s="138"/>
      <c r="S1251" s="72"/>
      <c r="T1251" s="72"/>
      <c r="U1251" s="72"/>
      <c r="V1251" s="72"/>
    </row>
    <row r="1252" spans="1:22" s="63" customFormat="1" ht="22.5" x14ac:dyDescent="0.25">
      <c r="A1252" s="84">
        <v>9.17</v>
      </c>
      <c r="B1252" s="81" t="s">
        <v>51</v>
      </c>
      <c r="C1252" s="80">
        <v>60.2</v>
      </c>
      <c r="D1252" s="131" t="s">
        <v>1181</v>
      </c>
      <c r="E1252" s="83" t="s">
        <v>1182</v>
      </c>
      <c r="F1252" s="81" t="s">
        <v>370</v>
      </c>
      <c r="G1252" s="87">
        <v>0.38</v>
      </c>
      <c r="H1252" s="85"/>
      <c r="I1252" s="86">
        <v>762.26</v>
      </c>
      <c r="J1252" s="185">
        <f t="shared" si="132"/>
        <v>2283.9699999999998</v>
      </c>
      <c r="K1252" s="189">
        <f t="shared" si="131"/>
        <v>867.91</v>
      </c>
      <c r="L1252" s="189"/>
      <c r="M1252" s="138"/>
      <c r="N1252" s="138"/>
      <c r="O1252" s="138"/>
      <c r="S1252" s="72"/>
      <c r="T1252" s="72"/>
      <c r="U1252" s="72"/>
      <c r="V1252" s="72"/>
    </row>
    <row r="1253" spans="1:22" s="63" customFormat="1" ht="33.75" x14ac:dyDescent="0.25">
      <c r="A1253" s="84">
        <v>9.1709999999999994</v>
      </c>
      <c r="B1253" s="81" t="s">
        <v>51</v>
      </c>
      <c r="C1253" s="80">
        <v>60.3</v>
      </c>
      <c r="D1253" s="131" t="s">
        <v>1116</v>
      </c>
      <c r="E1253" s="83" t="s">
        <v>1117</v>
      </c>
      <c r="F1253" s="81" t="s">
        <v>226</v>
      </c>
      <c r="G1253" s="87">
        <v>0.03</v>
      </c>
      <c r="H1253" s="85"/>
      <c r="I1253" s="86">
        <v>3377.06</v>
      </c>
      <c r="J1253" s="185">
        <f t="shared" si="132"/>
        <v>128170.68</v>
      </c>
      <c r="K1253" s="189">
        <f t="shared" si="131"/>
        <v>3845.12</v>
      </c>
      <c r="L1253" s="189"/>
      <c r="M1253" s="138"/>
      <c r="N1253" s="138"/>
      <c r="O1253" s="138"/>
      <c r="S1253" s="72"/>
      <c r="T1253" s="72"/>
      <c r="U1253" s="72"/>
      <c r="V1253" s="72"/>
    </row>
    <row r="1254" spans="1:22" s="63" customFormat="1" ht="22.5" x14ac:dyDescent="0.25">
      <c r="A1254" s="84">
        <v>9.1720000000000006</v>
      </c>
      <c r="B1254" s="81" t="s">
        <v>51</v>
      </c>
      <c r="C1254" s="82">
        <v>61</v>
      </c>
      <c r="D1254" s="131" t="s">
        <v>1118</v>
      </c>
      <c r="E1254" s="83" t="s">
        <v>1119</v>
      </c>
      <c r="F1254" s="81" t="s">
        <v>219</v>
      </c>
      <c r="G1254" s="82">
        <v>2</v>
      </c>
      <c r="H1254" s="85"/>
      <c r="I1254" s="86">
        <v>5002.6000000000004</v>
      </c>
      <c r="J1254" s="185">
        <f t="shared" si="132"/>
        <v>2847.98</v>
      </c>
      <c r="K1254" s="189">
        <f t="shared" si="131"/>
        <v>5695.96</v>
      </c>
      <c r="L1254" s="189"/>
      <c r="M1254" s="138"/>
      <c r="N1254" s="138"/>
      <c r="O1254" s="138"/>
      <c r="S1254" s="72"/>
      <c r="T1254" s="72"/>
      <c r="U1254" s="72"/>
      <c r="V1254" s="72"/>
    </row>
    <row r="1255" spans="1:22" s="63" customFormat="1" ht="22.5" x14ac:dyDescent="0.25">
      <c r="A1255" s="84">
        <v>9.173</v>
      </c>
      <c r="B1255" s="81" t="s">
        <v>51</v>
      </c>
      <c r="C1255" s="80">
        <v>61.1</v>
      </c>
      <c r="D1255" s="131" t="s">
        <v>1120</v>
      </c>
      <c r="E1255" s="83" t="s">
        <v>1121</v>
      </c>
      <c r="F1255" s="81" t="s">
        <v>219</v>
      </c>
      <c r="G1255" s="82">
        <v>2</v>
      </c>
      <c r="H1255" s="85"/>
      <c r="I1255" s="86">
        <v>2260.67</v>
      </c>
      <c r="J1255" s="185">
        <f t="shared" si="132"/>
        <v>1287</v>
      </c>
      <c r="K1255" s="189">
        <f t="shared" si="131"/>
        <v>2574</v>
      </c>
      <c r="L1255" s="189"/>
      <c r="M1255" s="138"/>
      <c r="N1255" s="138"/>
      <c r="O1255" s="138"/>
      <c r="S1255" s="72"/>
      <c r="T1255" s="72"/>
      <c r="U1255" s="72"/>
      <c r="V1255" s="72"/>
    </row>
    <row r="1256" spans="1:22" s="63" customFormat="1" ht="15" x14ac:dyDescent="0.25">
      <c r="A1256" s="84">
        <v>9.1739999999999995</v>
      </c>
      <c r="B1256" s="81" t="s">
        <v>51</v>
      </c>
      <c r="C1256" s="82">
        <v>62</v>
      </c>
      <c r="D1256" s="131" t="s">
        <v>1124</v>
      </c>
      <c r="E1256" s="83" t="s">
        <v>1125</v>
      </c>
      <c r="F1256" s="81" t="s">
        <v>219</v>
      </c>
      <c r="G1256" s="82">
        <v>2</v>
      </c>
      <c r="H1256" s="85"/>
      <c r="I1256" s="86">
        <v>16018.55</v>
      </c>
      <c r="J1256" s="185">
        <f t="shared" si="132"/>
        <v>9119.36</v>
      </c>
      <c r="K1256" s="189">
        <f t="shared" si="131"/>
        <v>18238.72</v>
      </c>
      <c r="L1256" s="189"/>
      <c r="M1256" s="138"/>
      <c r="N1256" s="138"/>
      <c r="O1256" s="138"/>
      <c r="S1256" s="72"/>
      <c r="T1256" s="72"/>
      <c r="U1256" s="72"/>
      <c r="V1256" s="72"/>
    </row>
    <row r="1257" spans="1:22" s="63" customFormat="1" ht="22.5" x14ac:dyDescent="0.25">
      <c r="A1257" s="84">
        <v>9.1750000000000007</v>
      </c>
      <c r="B1257" s="81" t="s">
        <v>51</v>
      </c>
      <c r="C1257" s="80">
        <v>62.1</v>
      </c>
      <c r="D1257" s="131" t="s">
        <v>1071</v>
      </c>
      <c r="E1257" s="83" t="s">
        <v>1072</v>
      </c>
      <c r="F1257" s="81" t="s">
        <v>226</v>
      </c>
      <c r="G1257" s="89">
        <v>3.0799999999999998E-3</v>
      </c>
      <c r="H1257" s="85"/>
      <c r="I1257" s="86">
        <v>410.79</v>
      </c>
      <c r="J1257" s="185">
        <f t="shared" si="132"/>
        <v>151858.93</v>
      </c>
      <c r="K1257" s="189">
        <f t="shared" si="131"/>
        <v>467.73</v>
      </c>
      <c r="L1257" s="189"/>
      <c r="M1257" s="138"/>
      <c r="N1257" s="138"/>
      <c r="O1257" s="138"/>
      <c r="S1257" s="72"/>
      <c r="T1257" s="72"/>
      <c r="U1257" s="72"/>
      <c r="V1257" s="72"/>
    </row>
    <row r="1258" spans="1:22" s="63" customFormat="1" ht="22.5" x14ac:dyDescent="0.25">
      <c r="A1258" s="84">
        <v>9.1760000000000002</v>
      </c>
      <c r="B1258" s="81" t="s">
        <v>51</v>
      </c>
      <c r="C1258" s="80">
        <v>62.2</v>
      </c>
      <c r="D1258" s="131" t="s">
        <v>1218</v>
      </c>
      <c r="E1258" s="83" t="s">
        <v>3599</v>
      </c>
      <c r="F1258" s="81" t="s">
        <v>219</v>
      </c>
      <c r="G1258" s="82">
        <v>2</v>
      </c>
      <c r="H1258" s="85"/>
      <c r="I1258" s="86">
        <v>4042</v>
      </c>
      <c r="J1258" s="185">
        <f t="shared" si="132"/>
        <v>2301.11</v>
      </c>
      <c r="K1258" s="189">
        <f t="shared" si="131"/>
        <v>4602.22</v>
      </c>
      <c r="L1258" s="189"/>
      <c r="M1258" s="138"/>
      <c r="N1258" s="138"/>
      <c r="O1258" s="138"/>
      <c r="S1258" s="72"/>
      <c r="T1258" s="72"/>
      <c r="U1258" s="72"/>
      <c r="V1258" s="72"/>
    </row>
    <row r="1259" spans="1:22" s="63" customFormat="1" ht="22.5" x14ac:dyDescent="0.25">
      <c r="A1259" s="84">
        <v>9.1769999999999996</v>
      </c>
      <c r="B1259" s="81" t="s">
        <v>51</v>
      </c>
      <c r="C1259" s="82">
        <v>63</v>
      </c>
      <c r="D1259" s="131" t="s">
        <v>1186</v>
      </c>
      <c r="E1259" s="83" t="s">
        <v>1187</v>
      </c>
      <c r="F1259" s="81" t="s">
        <v>219</v>
      </c>
      <c r="G1259" s="82">
        <v>3</v>
      </c>
      <c r="H1259" s="85"/>
      <c r="I1259" s="86">
        <v>14039.5</v>
      </c>
      <c r="J1259" s="185">
        <f t="shared" si="132"/>
        <v>5328.46</v>
      </c>
      <c r="K1259" s="189">
        <f t="shared" si="131"/>
        <v>15985.38</v>
      </c>
      <c r="L1259" s="189"/>
      <c r="M1259" s="138"/>
      <c r="N1259" s="138"/>
      <c r="O1259" s="138"/>
      <c r="S1259" s="72"/>
      <c r="T1259" s="72"/>
      <c r="U1259" s="72"/>
      <c r="V1259" s="72"/>
    </row>
    <row r="1260" spans="1:22" s="63" customFormat="1" ht="22.5" x14ac:dyDescent="0.25">
      <c r="A1260" s="84">
        <v>9.1780000000000008</v>
      </c>
      <c r="B1260" s="81" t="s">
        <v>51</v>
      </c>
      <c r="C1260" s="80">
        <v>63.1</v>
      </c>
      <c r="D1260" s="131" t="s">
        <v>1137</v>
      </c>
      <c r="E1260" s="83" t="s">
        <v>1138</v>
      </c>
      <c r="F1260" s="81" t="s">
        <v>334</v>
      </c>
      <c r="G1260" s="80">
        <v>27.9</v>
      </c>
      <c r="H1260" s="85"/>
      <c r="I1260" s="86">
        <v>2980.48</v>
      </c>
      <c r="J1260" s="185">
        <f t="shared" si="132"/>
        <v>121.63</v>
      </c>
      <c r="K1260" s="189">
        <f t="shared" si="131"/>
        <v>3393.48</v>
      </c>
      <c r="L1260" s="189"/>
      <c r="M1260" s="138"/>
      <c r="N1260" s="138"/>
      <c r="O1260" s="138"/>
      <c r="S1260" s="72"/>
      <c r="T1260" s="72"/>
      <c r="U1260" s="72"/>
      <c r="V1260" s="72"/>
    </row>
    <row r="1261" spans="1:22" s="63" customFormat="1" ht="22.5" x14ac:dyDescent="0.25">
      <c r="A1261" s="84">
        <v>9.1790000000000003</v>
      </c>
      <c r="B1261" s="81" t="s">
        <v>51</v>
      </c>
      <c r="C1261" s="80">
        <v>63.2</v>
      </c>
      <c r="D1261" s="131" t="s">
        <v>1139</v>
      </c>
      <c r="E1261" s="83" t="s">
        <v>1140</v>
      </c>
      <c r="F1261" s="81" t="s">
        <v>566</v>
      </c>
      <c r="G1261" s="80">
        <v>0.6</v>
      </c>
      <c r="H1261" s="85"/>
      <c r="I1261" s="86">
        <v>1258.47</v>
      </c>
      <c r="J1261" s="185">
        <f t="shared" si="132"/>
        <v>2388.16</v>
      </c>
      <c r="K1261" s="189">
        <f t="shared" si="131"/>
        <v>1432.9</v>
      </c>
      <c r="L1261" s="189"/>
      <c r="M1261" s="138"/>
      <c r="N1261" s="138"/>
      <c r="O1261" s="138"/>
      <c r="S1261" s="72"/>
      <c r="T1261" s="72"/>
      <c r="U1261" s="72"/>
      <c r="V1261" s="72"/>
    </row>
    <row r="1262" spans="1:22" s="63" customFormat="1" ht="33.75" x14ac:dyDescent="0.25">
      <c r="A1262" s="84">
        <v>9.18</v>
      </c>
      <c r="B1262" s="81" t="s">
        <v>51</v>
      </c>
      <c r="C1262" s="80">
        <v>63.3</v>
      </c>
      <c r="D1262" s="131" t="s">
        <v>1219</v>
      </c>
      <c r="E1262" s="83" t="s">
        <v>3595</v>
      </c>
      <c r="F1262" s="81" t="s">
        <v>219</v>
      </c>
      <c r="G1262" s="82">
        <v>3</v>
      </c>
      <c r="H1262" s="85"/>
      <c r="I1262" s="86">
        <v>30838.46</v>
      </c>
      <c r="J1262" s="185">
        <f t="shared" si="132"/>
        <v>11704.22</v>
      </c>
      <c r="K1262" s="189">
        <f t="shared" si="131"/>
        <v>35112.660000000003</v>
      </c>
      <c r="L1262" s="189"/>
      <c r="M1262" s="138"/>
      <c r="N1262" s="138"/>
      <c r="O1262" s="138"/>
      <c r="S1262" s="72"/>
      <c r="T1262" s="72"/>
      <c r="U1262" s="72"/>
      <c r="V1262" s="72"/>
    </row>
    <row r="1263" spans="1:22" s="63" customFormat="1" ht="22.5" x14ac:dyDescent="0.25">
      <c r="A1263" s="84">
        <v>9.1809999999999992</v>
      </c>
      <c r="B1263" s="81" t="s">
        <v>51</v>
      </c>
      <c r="C1263" s="82">
        <v>64</v>
      </c>
      <c r="D1263" s="131" t="s">
        <v>1147</v>
      </c>
      <c r="E1263" s="83" t="s">
        <v>1148</v>
      </c>
      <c r="F1263" s="81" t="s">
        <v>207</v>
      </c>
      <c r="G1263" s="84">
        <v>6.2E-2</v>
      </c>
      <c r="H1263" s="85"/>
      <c r="I1263" s="86">
        <v>2155.6799999999998</v>
      </c>
      <c r="J1263" s="185">
        <f t="shared" si="132"/>
        <v>39588.019999999997</v>
      </c>
      <c r="K1263" s="189">
        <f t="shared" si="131"/>
        <v>2454.46</v>
      </c>
      <c r="L1263" s="189"/>
      <c r="M1263" s="138"/>
      <c r="N1263" s="138"/>
      <c r="O1263" s="138"/>
      <c r="S1263" s="72"/>
      <c r="T1263" s="72"/>
      <c r="U1263" s="72"/>
      <c r="V1263" s="72"/>
    </row>
    <row r="1264" spans="1:22" s="63" customFormat="1" ht="22.5" x14ac:dyDescent="0.25">
      <c r="A1264" s="84">
        <v>9.1820000000000004</v>
      </c>
      <c r="B1264" s="81" t="s">
        <v>51</v>
      </c>
      <c r="C1264" s="80">
        <v>64.099999999999994</v>
      </c>
      <c r="D1264" s="131" t="s">
        <v>1149</v>
      </c>
      <c r="E1264" s="83" t="s">
        <v>1150</v>
      </c>
      <c r="F1264" s="81" t="s">
        <v>370</v>
      </c>
      <c r="G1264" s="87">
        <v>7.13</v>
      </c>
      <c r="H1264" s="85"/>
      <c r="I1264" s="86">
        <v>3166.34</v>
      </c>
      <c r="J1264" s="185">
        <f t="shared" si="132"/>
        <v>505.64</v>
      </c>
      <c r="K1264" s="189">
        <f t="shared" si="131"/>
        <v>3605.21</v>
      </c>
      <c r="L1264" s="189"/>
      <c r="M1264" s="138"/>
      <c r="N1264" s="138"/>
      <c r="O1264" s="138"/>
      <c r="S1264" s="72"/>
      <c r="T1264" s="72"/>
      <c r="U1264" s="72"/>
      <c r="V1264" s="72"/>
    </row>
    <row r="1265" spans="1:22" s="63" customFormat="1" ht="22.5" x14ac:dyDescent="0.25">
      <c r="A1265" s="84">
        <v>9.1829999999999998</v>
      </c>
      <c r="B1265" s="81" t="s">
        <v>51</v>
      </c>
      <c r="C1265" s="82">
        <v>65</v>
      </c>
      <c r="D1265" s="131" t="s">
        <v>1151</v>
      </c>
      <c r="E1265" s="83" t="s">
        <v>1152</v>
      </c>
      <c r="F1265" s="81" t="s">
        <v>205</v>
      </c>
      <c r="G1265" s="87">
        <v>1.08</v>
      </c>
      <c r="H1265" s="85"/>
      <c r="I1265" s="86">
        <v>27652.92</v>
      </c>
      <c r="J1265" s="185">
        <f t="shared" si="132"/>
        <v>29153.35</v>
      </c>
      <c r="K1265" s="189">
        <f t="shared" si="131"/>
        <v>31485.62</v>
      </c>
      <c r="L1265" s="189"/>
      <c r="M1265" s="138"/>
      <c r="N1265" s="138"/>
      <c r="O1265" s="138"/>
      <c r="S1265" s="72"/>
      <c r="T1265" s="72"/>
      <c r="U1265" s="72"/>
      <c r="V1265" s="72"/>
    </row>
    <row r="1266" spans="1:22" s="63" customFormat="1" ht="22.5" x14ac:dyDescent="0.25">
      <c r="A1266" s="84">
        <v>9.1839999999999993</v>
      </c>
      <c r="B1266" s="81" t="s">
        <v>51</v>
      </c>
      <c r="C1266" s="80">
        <v>65.099999999999994</v>
      </c>
      <c r="D1266" s="131" t="s">
        <v>1153</v>
      </c>
      <c r="E1266" s="83" t="s">
        <v>3573</v>
      </c>
      <c r="F1266" s="81" t="s">
        <v>370</v>
      </c>
      <c r="G1266" s="80">
        <v>37.799999999999997</v>
      </c>
      <c r="H1266" s="85"/>
      <c r="I1266" s="86">
        <v>13389</v>
      </c>
      <c r="J1266" s="185">
        <f t="shared" si="132"/>
        <v>403.3</v>
      </c>
      <c r="K1266" s="189">
        <f t="shared" si="131"/>
        <v>15244.74</v>
      </c>
      <c r="L1266" s="189"/>
      <c r="M1266" s="138"/>
      <c r="N1266" s="138"/>
      <c r="O1266" s="138"/>
      <c r="S1266" s="72"/>
      <c r="T1266" s="72"/>
      <c r="U1266" s="72"/>
      <c r="V1266" s="72"/>
    </row>
    <row r="1267" spans="1:22" s="128" customFormat="1" ht="12.75" x14ac:dyDescent="0.25">
      <c r="A1267" s="242"/>
      <c r="B1267" s="125"/>
      <c r="C1267" s="236"/>
      <c r="D1267" s="77"/>
      <c r="E1267" s="126" t="s">
        <v>3294</v>
      </c>
      <c r="F1267" s="125"/>
      <c r="G1267" s="236"/>
      <c r="H1267" s="127"/>
      <c r="I1267" s="78"/>
      <c r="J1267" s="238"/>
      <c r="K1267" s="239"/>
      <c r="L1267" s="239"/>
      <c r="M1267" s="79"/>
      <c r="N1267" s="79"/>
      <c r="O1267" s="79"/>
      <c r="S1267" s="129"/>
      <c r="T1267" s="129"/>
      <c r="U1267" s="129"/>
      <c r="V1267" s="129"/>
    </row>
    <row r="1268" spans="1:22" s="63" customFormat="1" ht="15" x14ac:dyDescent="0.25">
      <c r="A1268" s="84">
        <v>9.1850000000000005</v>
      </c>
      <c r="B1268" s="81" t="s">
        <v>51</v>
      </c>
      <c r="C1268" s="82">
        <v>66</v>
      </c>
      <c r="D1268" s="131" t="s">
        <v>1220</v>
      </c>
      <c r="E1268" s="83" t="s">
        <v>1221</v>
      </c>
      <c r="F1268" s="81" t="s">
        <v>219</v>
      </c>
      <c r="G1268" s="82">
        <v>1</v>
      </c>
      <c r="H1268" s="85"/>
      <c r="I1268" s="86">
        <v>8223.4699999999993</v>
      </c>
      <c r="J1268" s="185">
        <f>ROUND($I1268/$G1268*$N$11,2)</f>
        <v>9363.24</v>
      </c>
      <c r="K1268" s="189">
        <f t="shared" ref="K1268:K1289" si="133">ROUND(G1268*J1268,2)</f>
        <v>9363.24</v>
      </c>
      <c r="L1268" s="189"/>
      <c r="M1268" s="138"/>
      <c r="N1268" s="138"/>
      <c r="O1268" s="138"/>
      <c r="S1268" s="72"/>
      <c r="T1268" s="72"/>
      <c r="U1268" s="72"/>
      <c r="V1268" s="72"/>
    </row>
    <row r="1269" spans="1:22" s="63" customFormat="1" ht="22.5" x14ac:dyDescent="0.25">
      <c r="A1269" s="84">
        <v>9.1859999999999999</v>
      </c>
      <c r="B1269" s="81" t="s">
        <v>51</v>
      </c>
      <c r="C1269" s="80">
        <v>66.099999999999994</v>
      </c>
      <c r="D1269" s="131" t="s">
        <v>1071</v>
      </c>
      <c r="E1269" s="83" t="s">
        <v>1072</v>
      </c>
      <c r="F1269" s="81" t="s">
        <v>226</v>
      </c>
      <c r="G1269" s="88">
        <v>2.8E-3</v>
      </c>
      <c r="H1269" s="85"/>
      <c r="I1269" s="86">
        <v>373.49</v>
      </c>
      <c r="J1269" s="185">
        <f>ROUND($I1269/$G1269*$N$11,2)</f>
        <v>151877.04</v>
      </c>
      <c r="K1269" s="189">
        <f t="shared" si="133"/>
        <v>425.26</v>
      </c>
      <c r="L1269" s="189"/>
      <c r="M1269" s="138"/>
      <c r="N1269" s="138"/>
      <c r="O1269" s="138"/>
      <c r="S1269" s="72"/>
      <c r="T1269" s="72"/>
      <c r="U1269" s="72"/>
      <c r="V1269" s="72"/>
    </row>
    <row r="1270" spans="1:22" s="63" customFormat="1" ht="45" x14ac:dyDescent="0.25">
      <c r="A1270" s="84">
        <v>9.1869999999999994</v>
      </c>
      <c r="B1270" s="81" t="s">
        <v>51</v>
      </c>
      <c r="C1270" s="82">
        <v>67</v>
      </c>
      <c r="D1270" s="131" t="s">
        <v>1222</v>
      </c>
      <c r="E1270" s="83" t="s">
        <v>1223</v>
      </c>
      <c r="F1270" s="81" t="s">
        <v>219</v>
      </c>
      <c r="G1270" s="82">
        <v>1</v>
      </c>
      <c r="H1270" s="85"/>
      <c r="I1270" s="86">
        <v>1435.79</v>
      </c>
      <c r="J1270" s="185">
        <f>ROUND($I1270/$G1270*$N$11,2)</f>
        <v>1634.79</v>
      </c>
      <c r="K1270" s="189">
        <f t="shared" si="133"/>
        <v>1634.79</v>
      </c>
      <c r="L1270" s="189"/>
      <c r="M1270" s="138"/>
      <c r="N1270" s="138"/>
      <c r="O1270" s="138"/>
      <c r="S1270" s="72"/>
      <c r="T1270" s="72"/>
      <c r="U1270" s="72"/>
      <c r="V1270" s="72"/>
    </row>
    <row r="1271" spans="1:22" s="63" customFormat="1" ht="22.5" x14ac:dyDescent="0.25">
      <c r="A1271" s="108">
        <v>9.1880000000000006</v>
      </c>
      <c r="B1271" s="102" t="s">
        <v>51</v>
      </c>
      <c r="C1271" s="103">
        <v>67.099999999999994</v>
      </c>
      <c r="D1271" s="167" t="s">
        <v>1224</v>
      </c>
      <c r="E1271" s="104" t="s">
        <v>3600</v>
      </c>
      <c r="F1271" s="102" t="s">
        <v>219</v>
      </c>
      <c r="G1271" s="105">
        <v>1</v>
      </c>
      <c r="H1271" s="106"/>
      <c r="I1271" s="107">
        <v>46241.32</v>
      </c>
      <c r="J1271" s="192">
        <f>ROUND($I1271/$G1271*$N$12,2)</f>
        <v>51720.92</v>
      </c>
      <c r="K1271" s="193">
        <f t="shared" si="133"/>
        <v>51720.92</v>
      </c>
      <c r="L1271" s="193"/>
      <c r="M1271" s="138"/>
      <c r="N1271" s="138"/>
      <c r="O1271" s="138"/>
      <c r="S1271" s="110"/>
      <c r="T1271" s="72"/>
      <c r="U1271" s="72"/>
      <c r="V1271" s="72"/>
    </row>
    <row r="1272" spans="1:22" s="63" customFormat="1" ht="22.5" x14ac:dyDescent="0.25">
      <c r="A1272" s="84">
        <v>9.1890000000000001</v>
      </c>
      <c r="B1272" s="81" t="s">
        <v>51</v>
      </c>
      <c r="C1272" s="82">
        <v>68</v>
      </c>
      <c r="D1272" s="131" t="s">
        <v>1225</v>
      </c>
      <c r="E1272" s="83" t="s">
        <v>1226</v>
      </c>
      <c r="F1272" s="81" t="s">
        <v>566</v>
      </c>
      <c r="G1272" s="80">
        <v>0.1</v>
      </c>
      <c r="H1272" s="85"/>
      <c r="I1272" s="86">
        <v>6364.14</v>
      </c>
      <c r="J1272" s="185">
        <f>ROUND($I1272/$G1272*$N$11,2)</f>
        <v>72462.100000000006</v>
      </c>
      <c r="K1272" s="189">
        <f t="shared" si="133"/>
        <v>7246.21</v>
      </c>
      <c r="L1272" s="189"/>
      <c r="M1272" s="138"/>
      <c r="N1272" s="138"/>
      <c r="O1272" s="138"/>
      <c r="S1272" s="72"/>
      <c r="T1272" s="72"/>
      <c r="U1272" s="72"/>
      <c r="V1272" s="72"/>
    </row>
    <row r="1273" spans="1:22" s="63" customFormat="1" ht="15" x14ac:dyDescent="0.25">
      <c r="A1273" s="84">
        <v>9.19</v>
      </c>
      <c r="B1273" s="81" t="s">
        <v>51</v>
      </c>
      <c r="C1273" s="80">
        <v>68.099999999999994</v>
      </c>
      <c r="D1273" s="131" t="s">
        <v>1227</v>
      </c>
      <c r="E1273" s="83" t="s">
        <v>3601</v>
      </c>
      <c r="F1273" s="81" t="s">
        <v>219</v>
      </c>
      <c r="G1273" s="82">
        <v>1</v>
      </c>
      <c r="H1273" s="85"/>
      <c r="I1273" s="86">
        <v>27106.02</v>
      </c>
      <c r="J1273" s="185">
        <f>ROUND($I1273/$G1273*$N$11,2)</f>
        <v>30862.91</v>
      </c>
      <c r="K1273" s="189">
        <f t="shared" si="133"/>
        <v>30862.91</v>
      </c>
      <c r="L1273" s="189"/>
      <c r="M1273" s="138"/>
      <c r="N1273" s="138"/>
      <c r="O1273" s="138"/>
      <c r="S1273" s="72"/>
      <c r="T1273" s="72"/>
      <c r="U1273" s="72"/>
      <c r="V1273" s="72"/>
    </row>
    <row r="1274" spans="1:22" s="63" customFormat="1" ht="22.5" x14ac:dyDescent="0.25">
      <c r="A1274" s="84">
        <v>9.1910000000000007</v>
      </c>
      <c r="B1274" s="81" t="s">
        <v>51</v>
      </c>
      <c r="C1274" s="82">
        <v>69</v>
      </c>
      <c r="D1274" s="131" t="s">
        <v>783</v>
      </c>
      <c r="E1274" s="83" t="s">
        <v>1078</v>
      </c>
      <c r="F1274" s="81" t="s">
        <v>219</v>
      </c>
      <c r="G1274" s="82">
        <v>1</v>
      </c>
      <c r="H1274" s="85"/>
      <c r="I1274" s="86">
        <v>3276.2</v>
      </c>
      <c r="J1274" s="185">
        <f>ROUND($I1274/$G1274*$N$11,2)</f>
        <v>3730.28</v>
      </c>
      <c r="K1274" s="189">
        <f t="shared" si="133"/>
        <v>3730.28</v>
      </c>
      <c r="L1274" s="189"/>
      <c r="M1274" s="138"/>
      <c r="N1274" s="138"/>
      <c r="O1274" s="138"/>
      <c r="S1274" s="72"/>
      <c r="T1274" s="72"/>
      <c r="U1274" s="72"/>
      <c r="V1274" s="72"/>
    </row>
    <row r="1275" spans="1:22" s="63" customFormat="1" ht="22.5" x14ac:dyDescent="0.25">
      <c r="A1275" s="108">
        <v>9.1920000000000002</v>
      </c>
      <c r="B1275" s="102" t="s">
        <v>51</v>
      </c>
      <c r="C1275" s="103">
        <v>69.099999999999994</v>
      </c>
      <c r="D1275" s="167" t="s">
        <v>1228</v>
      </c>
      <c r="E1275" s="104" t="s">
        <v>3602</v>
      </c>
      <c r="F1275" s="102" t="s">
        <v>219</v>
      </c>
      <c r="G1275" s="105">
        <v>1</v>
      </c>
      <c r="H1275" s="106"/>
      <c r="I1275" s="107">
        <v>21212.97</v>
      </c>
      <c r="J1275" s="192">
        <f>ROUND($I1275/$G1275*$N$12,2)</f>
        <v>23726.71</v>
      </c>
      <c r="K1275" s="193">
        <f t="shared" si="133"/>
        <v>23726.71</v>
      </c>
      <c r="L1275" s="193"/>
      <c r="M1275" s="138"/>
      <c r="N1275" s="138"/>
      <c r="O1275" s="138"/>
      <c r="S1275" s="110"/>
      <c r="T1275" s="72"/>
      <c r="U1275" s="72"/>
      <c r="V1275" s="72"/>
    </row>
    <row r="1276" spans="1:22" s="63" customFormat="1" ht="33.75" x14ac:dyDescent="0.25">
      <c r="A1276" s="84">
        <v>9.1929999999999996</v>
      </c>
      <c r="B1276" s="81" t="s">
        <v>51</v>
      </c>
      <c r="C1276" s="82">
        <v>70</v>
      </c>
      <c r="D1276" s="131" t="s">
        <v>1096</v>
      </c>
      <c r="E1276" s="83" t="s">
        <v>1229</v>
      </c>
      <c r="F1276" s="81" t="s">
        <v>207</v>
      </c>
      <c r="G1276" s="84">
        <v>0.17100000000000001</v>
      </c>
      <c r="H1276" s="85"/>
      <c r="I1276" s="86">
        <v>19383.29</v>
      </c>
      <c r="J1276" s="185">
        <f t="shared" ref="J1276:J1289" si="134">ROUND($I1276/$G1276*$N$11,2)</f>
        <v>129063.24</v>
      </c>
      <c r="K1276" s="189">
        <f t="shared" si="133"/>
        <v>22069.81</v>
      </c>
      <c r="L1276" s="189"/>
      <c r="M1276" s="138"/>
      <c r="N1276" s="138"/>
      <c r="O1276" s="138"/>
      <c r="S1276" s="72"/>
      <c r="T1276" s="72"/>
      <c r="U1276" s="72"/>
      <c r="V1276" s="72"/>
    </row>
    <row r="1277" spans="1:22" s="63" customFormat="1" ht="22.5" x14ac:dyDescent="0.25">
      <c r="A1277" s="84">
        <v>9.1940000000000008</v>
      </c>
      <c r="B1277" s="81" t="s">
        <v>51</v>
      </c>
      <c r="C1277" s="80">
        <v>70.099999999999994</v>
      </c>
      <c r="D1277" s="131" t="s">
        <v>1100</v>
      </c>
      <c r="E1277" s="83" t="s">
        <v>1101</v>
      </c>
      <c r="F1277" s="81" t="s">
        <v>370</v>
      </c>
      <c r="G1277" s="87">
        <v>13.14</v>
      </c>
      <c r="H1277" s="85"/>
      <c r="I1277" s="86">
        <v>16794.21</v>
      </c>
      <c r="J1277" s="185">
        <f t="shared" si="134"/>
        <v>1455.24</v>
      </c>
      <c r="K1277" s="189">
        <f t="shared" si="133"/>
        <v>19121.849999999999</v>
      </c>
      <c r="L1277" s="189"/>
      <c r="M1277" s="138"/>
      <c r="N1277" s="138"/>
      <c r="O1277" s="138"/>
      <c r="S1277" s="72"/>
      <c r="T1277" s="72"/>
      <c r="U1277" s="72"/>
      <c r="V1277" s="72"/>
    </row>
    <row r="1278" spans="1:22" s="63" customFormat="1" ht="33.75" x14ac:dyDescent="0.25">
      <c r="A1278" s="84">
        <v>9.1950000000000003</v>
      </c>
      <c r="B1278" s="81" t="s">
        <v>51</v>
      </c>
      <c r="C1278" s="80">
        <v>70.2</v>
      </c>
      <c r="D1278" s="131" t="s">
        <v>1108</v>
      </c>
      <c r="E1278" s="83" t="s">
        <v>3603</v>
      </c>
      <c r="F1278" s="81" t="s">
        <v>370</v>
      </c>
      <c r="G1278" s="87">
        <v>3.96</v>
      </c>
      <c r="H1278" s="85"/>
      <c r="I1278" s="86">
        <v>5004.1499999999996</v>
      </c>
      <c r="J1278" s="185">
        <f t="shared" si="134"/>
        <v>1438.82</v>
      </c>
      <c r="K1278" s="189">
        <f t="shared" si="133"/>
        <v>5697.73</v>
      </c>
      <c r="L1278" s="189"/>
      <c r="M1278" s="138"/>
      <c r="N1278" s="138"/>
      <c r="O1278" s="138"/>
      <c r="S1278" s="72"/>
      <c r="T1278" s="72"/>
      <c r="U1278" s="72"/>
      <c r="V1278" s="72"/>
    </row>
    <row r="1279" spans="1:22" s="63" customFormat="1" ht="22.5" x14ac:dyDescent="0.25">
      <c r="A1279" s="84">
        <v>9.1959999999999997</v>
      </c>
      <c r="B1279" s="81" t="s">
        <v>51</v>
      </c>
      <c r="C1279" s="82">
        <v>71</v>
      </c>
      <c r="D1279" s="131" t="s">
        <v>1230</v>
      </c>
      <c r="E1279" s="83" t="s">
        <v>1231</v>
      </c>
      <c r="F1279" s="81" t="s">
        <v>207</v>
      </c>
      <c r="G1279" s="88">
        <v>2.7900000000000001E-2</v>
      </c>
      <c r="H1279" s="85"/>
      <c r="I1279" s="86">
        <v>4777.97</v>
      </c>
      <c r="J1279" s="185">
        <f t="shared" si="134"/>
        <v>194989.13</v>
      </c>
      <c r="K1279" s="189">
        <f t="shared" si="133"/>
        <v>5440.2</v>
      </c>
      <c r="L1279" s="189"/>
      <c r="M1279" s="138"/>
      <c r="N1279" s="138"/>
      <c r="O1279" s="138"/>
      <c r="S1279" s="72"/>
      <c r="T1279" s="72"/>
      <c r="U1279" s="72"/>
      <c r="V1279" s="72"/>
    </row>
    <row r="1280" spans="1:22" s="63" customFormat="1" ht="22.5" x14ac:dyDescent="0.25">
      <c r="A1280" s="84">
        <v>9.1969999999999992</v>
      </c>
      <c r="B1280" s="81" t="s">
        <v>51</v>
      </c>
      <c r="C1280" s="80">
        <v>71.099999999999994</v>
      </c>
      <c r="D1280" s="131" t="s">
        <v>1232</v>
      </c>
      <c r="E1280" s="83" t="s">
        <v>1233</v>
      </c>
      <c r="F1280" s="81" t="s">
        <v>370</v>
      </c>
      <c r="G1280" s="87">
        <v>2.79</v>
      </c>
      <c r="H1280" s="85"/>
      <c r="I1280" s="86">
        <v>2082.36</v>
      </c>
      <c r="J1280" s="185">
        <f t="shared" si="134"/>
        <v>849.81</v>
      </c>
      <c r="K1280" s="189">
        <f t="shared" si="133"/>
        <v>2370.9699999999998</v>
      </c>
      <c r="L1280" s="189"/>
      <c r="M1280" s="138"/>
      <c r="N1280" s="138"/>
      <c r="O1280" s="138"/>
      <c r="S1280" s="72"/>
      <c r="T1280" s="72"/>
      <c r="U1280" s="72"/>
      <c r="V1280" s="72"/>
    </row>
    <row r="1281" spans="1:22" s="63" customFormat="1" ht="33.75" x14ac:dyDescent="0.25">
      <c r="A1281" s="84">
        <v>9.1980000000000004</v>
      </c>
      <c r="B1281" s="81" t="s">
        <v>51</v>
      </c>
      <c r="C1281" s="80">
        <v>71.2</v>
      </c>
      <c r="D1281" s="131" t="s">
        <v>1116</v>
      </c>
      <c r="E1281" s="83" t="s">
        <v>1117</v>
      </c>
      <c r="F1281" s="81" t="s">
        <v>226</v>
      </c>
      <c r="G1281" s="87">
        <v>0.03</v>
      </c>
      <c r="H1281" s="85"/>
      <c r="I1281" s="86">
        <v>3377.06</v>
      </c>
      <c r="J1281" s="185">
        <f t="shared" si="134"/>
        <v>128170.68</v>
      </c>
      <c r="K1281" s="189">
        <f t="shared" si="133"/>
        <v>3845.12</v>
      </c>
      <c r="L1281" s="189"/>
      <c r="M1281" s="138"/>
      <c r="N1281" s="138"/>
      <c r="O1281" s="138"/>
      <c r="S1281" s="72"/>
      <c r="T1281" s="72"/>
      <c r="U1281" s="72"/>
      <c r="V1281" s="72"/>
    </row>
    <row r="1282" spans="1:22" s="63" customFormat="1" ht="22.5" x14ac:dyDescent="0.25">
      <c r="A1282" s="84">
        <v>9.1989999999999998</v>
      </c>
      <c r="B1282" s="81" t="s">
        <v>51</v>
      </c>
      <c r="C1282" s="82">
        <v>72</v>
      </c>
      <c r="D1282" s="131" t="s">
        <v>1234</v>
      </c>
      <c r="E1282" s="83" t="s">
        <v>1235</v>
      </c>
      <c r="F1282" s="81" t="s">
        <v>219</v>
      </c>
      <c r="G1282" s="82">
        <v>2</v>
      </c>
      <c r="H1282" s="85"/>
      <c r="I1282" s="86">
        <v>3597.47</v>
      </c>
      <c r="J1282" s="185">
        <f t="shared" si="134"/>
        <v>2048.04</v>
      </c>
      <c r="K1282" s="189">
        <f t="shared" si="133"/>
        <v>4096.08</v>
      </c>
      <c r="L1282" s="189"/>
      <c r="M1282" s="138"/>
      <c r="N1282" s="138"/>
      <c r="O1282" s="138"/>
      <c r="S1282" s="72"/>
      <c r="T1282" s="72"/>
      <c r="U1282" s="72"/>
      <c r="V1282" s="72"/>
    </row>
    <row r="1283" spans="1:22" s="63" customFormat="1" ht="22.5" x14ac:dyDescent="0.25">
      <c r="A1283" s="84">
        <v>9.1999999999999993</v>
      </c>
      <c r="B1283" s="81" t="s">
        <v>51</v>
      </c>
      <c r="C1283" s="80">
        <v>72.099999999999994</v>
      </c>
      <c r="D1283" s="131" t="s">
        <v>1236</v>
      </c>
      <c r="E1283" s="83" t="s">
        <v>1237</v>
      </c>
      <c r="F1283" s="81" t="s">
        <v>219</v>
      </c>
      <c r="G1283" s="82">
        <v>2</v>
      </c>
      <c r="H1283" s="85"/>
      <c r="I1283" s="86">
        <v>9989.2900000000009</v>
      </c>
      <c r="J1283" s="185">
        <f t="shared" si="134"/>
        <v>5686.9</v>
      </c>
      <c r="K1283" s="189">
        <f t="shared" si="133"/>
        <v>11373.8</v>
      </c>
      <c r="L1283" s="189"/>
      <c r="M1283" s="138"/>
      <c r="N1283" s="138"/>
      <c r="O1283" s="138"/>
      <c r="S1283" s="72"/>
      <c r="T1283" s="72"/>
      <c r="U1283" s="72"/>
      <c r="V1283" s="72"/>
    </row>
    <row r="1284" spans="1:22" s="63" customFormat="1" ht="22.5" x14ac:dyDescent="0.25">
      <c r="A1284" s="84">
        <v>9.2010000000000005</v>
      </c>
      <c r="B1284" s="81" t="s">
        <v>51</v>
      </c>
      <c r="C1284" s="82">
        <v>73</v>
      </c>
      <c r="D1284" s="131" t="s">
        <v>1135</v>
      </c>
      <c r="E1284" s="83" t="s">
        <v>1136</v>
      </c>
      <c r="F1284" s="81" t="s">
        <v>219</v>
      </c>
      <c r="G1284" s="82">
        <v>1</v>
      </c>
      <c r="H1284" s="85"/>
      <c r="I1284" s="86">
        <v>6887.56</v>
      </c>
      <c r="J1284" s="185">
        <f t="shared" si="134"/>
        <v>7842.18</v>
      </c>
      <c r="K1284" s="189">
        <f t="shared" si="133"/>
        <v>7842.18</v>
      </c>
      <c r="L1284" s="189"/>
      <c r="M1284" s="138"/>
      <c r="N1284" s="138"/>
      <c r="O1284" s="138"/>
      <c r="S1284" s="72"/>
      <c r="T1284" s="72"/>
      <c r="U1284" s="72"/>
      <c r="V1284" s="72"/>
    </row>
    <row r="1285" spans="1:22" s="63" customFormat="1" ht="22.5" x14ac:dyDescent="0.25">
      <c r="A1285" s="84">
        <v>9.202</v>
      </c>
      <c r="B1285" s="81" t="s">
        <v>51</v>
      </c>
      <c r="C1285" s="80">
        <v>73.099999999999994</v>
      </c>
      <c r="D1285" s="131" t="s">
        <v>1137</v>
      </c>
      <c r="E1285" s="83" t="s">
        <v>1138</v>
      </c>
      <c r="F1285" s="81" t="s">
        <v>334</v>
      </c>
      <c r="G1285" s="80">
        <v>9.3000000000000007</v>
      </c>
      <c r="H1285" s="85"/>
      <c r="I1285" s="86">
        <v>993.49</v>
      </c>
      <c r="J1285" s="185">
        <f t="shared" si="134"/>
        <v>121.63</v>
      </c>
      <c r="K1285" s="189">
        <f t="shared" si="133"/>
        <v>1131.1600000000001</v>
      </c>
      <c r="L1285" s="189"/>
      <c r="M1285" s="138"/>
      <c r="N1285" s="138"/>
      <c r="O1285" s="138"/>
      <c r="S1285" s="72"/>
      <c r="T1285" s="72"/>
      <c r="U1285" s="72"/>
      <c r="V1285" s="72"/>
    </row>
    <row r="1286" spans="1:22" s="63" customFormat="1" ht="22.5" x14ac:dyDescent="0.25">
      <c r="A1286" s="84">
        <v>9.2029999999999994</v>
      </c>
      <c r="B1286" s="81" t="s">
        <v>51</v>
      </c>
      <c r="C1286" s="80">
        <v>73.2</v>
      </c>
      <c r="D1286" s="131" t="s">
        <v>1139</v>
      </c>
      <c r="E1286" s="83" t="s">
        <v>1140</v>
      </c>
      <c r="F1286" s="81" t="s">
        <v>566</v>
      </c>
      <c r="G1286" s="80">
        <v>0.2</v>
      </c>
      <c r="H1286" s="85"/>
      <c r="I1286" s="86">
        <v>419.49</v>
      </c>
      <c r="J1286" s="185">
        <f t="shared" si="134"/>
        <v>2388.16</v>
      </c>
      <c r="K1286" s="189">
        <f t="shared" si="133"/>
        <v>477.63</v>
      </c>
      <c r="L1286" s="189"/>
      <c r="M1286" s="138"/>
      <c r="N1286" s="138"/>
      <c r="O1286" s="138"/>
      <c r="S1286" s="72"/>
      <c r="T1286" s="72"/>
      <c r="U1286" s="72"/>
      <c r="V1286" s="72"/>
    </row>
    <row r="1287" spans="1:22" s="63" customFormat="1" ht="22.5" x14ac:dyDescent="0.25">
      <c r="A1287" s="84">
        <v>9.2040000000000006</v>
      </c>
      <c r="B1287" s="81" t="s">
        <v>51</v>
      </c>
      <c r="C1287" s="80">
        <v>73.3</v>
      </c>
      <c r="D1287" s="131" t="s">
        <v>1238</v>
      </c>
      <c r="E1287" s="83" t="s">
        <v>3604</v>
      </c>
      <c r="F1287" s="81" t="s">
        <v>219</v>
      </c>
      <c r="G1287" s="82">
        <v>1</v>
      </c>
      <c r="H1287" s="85"/>
      <c r="I1287" s="86">
        <v>14058.82</v>
      </c>
      <c r="J1287" s="185">
        <f t="shared" si="134"/>
        <v>16007.37</v>
      </c>
      <c r="K1287" s="189">
        <f t="shared" si="133"/>
        <v>16007.37</v>
      </c>
      <c r="L1287" s="189"/>
      <c r="M1287" s="138"/>
      <c r="N1287" s="138"/>
      <c r="O1287" s="138"/>
      <c r="S1287" s="72"/>
      <c r="T1287" s="72"/>
      <c r="U1287" s="72"/>
      <c r="V1287" s="72"/>
    </row>
    <row r="1288" spans="1:22" s="63" customFormat="1" ht="22.5" x14ac:dyDescent="0.25">
      <c r="A1288" s="84">
        <v>9.2050000000000001</v>
      </c>
      <c r="B1288" s="81" t="s">
        <v>51</v>
      </c>
      <c r="C1288" s="82">
        <v>74</v>
      </c>
      <c r="D1288" s="131" t="s">
        <v>1151</v>
      </c>
      <c r="E1288" s="83" t="s">
        <v>1152</v>
      </c>
      <c r="F1288" s="81" t="s">
        <v>205</v>
      </c>
      <c r="G1288" s="87">
        <v>0.42</v>
      </c>
      <c r="H1288" s="85"/>
      <c r="I1288" s="86">
        <v>10753.93</v>
      </c>
      <c r="J1288" s="185">
        <f t="shared" si="134"/>
        <v>29153.39</v>
      </c>
      <c r="K1288" s="189">
        <f t="shared" si="133"/>
        <v>12244.42</v>
      </c>
      <c r="L1288" s="189"/>
      <c r="M1288" s="138"/>
      <c r="N1288" s="138"/>
      <c r="O1288" s="138"/>
      <c r="S1288" s="72"/>
      <c r="T1288" s="72"/>
      <c r="U1288" s="72"/>
      <c r="V1288" s="72"/>
    </row>
    <row r="1289" spans="1:22" s="63" customFormat="1" ht="22.5" x14ac:dyDescent="0.25">
      <c r="A1289" s="84">
        <v>9.2059999999999995</v>
      </c>
      <c r="B1289" s="81" t="s">
        <v>51</v>
      </c>
      <c r="C1289" s="80">
        <v>74.099999999999994</v>
      </c>
      <c r="D1289" s="131" t="s">
        <v>1153</v>
      </c>
      <c r="E1289" s="83" t="s">
        <v>3573</v>
      </c>
      <c r="F1289" s="81" t="s">
        <v>370</v>
      </c>
      <c r="G1289" s="80">
        <v>14.7</v>
      </c>
      <c r="H1289" s="85"/>
      <c r="I1289" s="86">
        <v>5206.79</v>
      </c>
      <c r="J1289" s="185">
        <f t="shared" si="134"/>
        <v>403.3</v>
      </c>
      <c r="K1289" s="189">
        <f t="shared" si="133"/>
        <v>5928.51</v>
      </c>
      <c r="L1289" s="189"/>
      <c r="M1289" s="138"/>
      <c r="N1289" s="138"/>
      <c r="O1289" s="138"/>
      <c r="S1289" s="72"/>
      <c r="T1289" s="72"/>
      <c r="U1289" s="72"/>
      <c r="V1289" s="72"/>
    </row>
    <row r="1290" spans="1:22" s="128" customFormat="1" ht="12.75" x14ac:dyDescent="0.25">
      <c r="A1290" s="242"/>
      <c r="B1290" s="125"/>
      <c r="C1290" s="236"/>
      <c r="D1290" s="77"/>
      <c r="E1290" s="126" t="s">
        <v>3295</v>
      </c>
      <c r="F1290" s="125"/>
      <c r="G1290" s="236"/>
      <c r="H1290" s="127"/>
      <c r="I1290" s="78"/>
      <c r="J1290" s="238"/>
      <c r="K1290" s="239"/>
      <c r="L1290" s="239"/>
      <c r="M1290" s="79"/>
      <c r="N1290" s="79"/>
      <c r="O1290" s="79"/>
      <c r="S1290" s="129"/>
      <c r="T1290" s="129"/>
      <c r="U1290" s="129"/>
      <c r="V1290" s="129"/>
    </row>
    <row r="1291" spans="1:22" s="63" customFormat="1" ht="15" x14ac:dyDescent="0.25">
      <c r="A1291" s="84">
        <v>9.2070000000000007</v>
      </c>
      <c r="B1291" s="81" t="s">
        <v>51</v>
      </c>
      <c r="C1291" s="82">
        <v>75</v>
      </c>
      <c r="D1291" s="131" t="s">
        <v>1220</v>
      </c>
      <c r="E1291" s="83" t="s">
        <v>1221</v>
      </c>
      <c r="F1291" s="81" t="s">
        <v>219</v>
      </c>
      <c r="G1291" s="82">
        <v>1</v>
      </c>
      <c r="H1291" s="85"/>
      <c r="I1291" s="86">
        <v>8223.4699999999993</v>
      </c>
      <c r="J1291" s="185">
        <f>ROUND($I1291/$G1291*$N$11,2)</f>
        <v>9363.24</v>
      </c>
      <c r="K1291" s="189">
        <f t="shared" ref="K1291:K1308" si="135">ROUND(G1291*J1291,2)</f>
        <v>9363.24</v>
      </c>
      <c r="L1291" s="189"/>
      <c r="M1291" s="138"/>
      <c r="N1291" s="138"/>
      <c r="O1291" s="138"/>
      <c r="S1291" s="72"/>
      <c r="T1291" s="72"/>
      <c r="U1291" s="72"/>
      <c r="V1291" s="72"/>
    </row>
    <row r="1292" spans="1:22" s="63" customFormat="1" ht="22.5" x14ac:dyDescent="0.25">
      <c r="A1292" s="84">
        <v>9.2080000000000002</v>
      </c>
      <c r="B1292" s="81" t="s">
        <v>51</v>
      </c>
      <c r="C1292" s="80">
        <v>75.099999999999994</v>
      </c>
      <c r="D1292" s="131" t="s">
        <v>1071</v>
      </c>
      <c r="E1292" s="83" t="s">
        <v>1072</v>
      </c>
      <c r="F1292" s="81" t="s">
        <v>226</v>
      </c>
      <c r="G1292" s="88">
        <v>2.8E-3</v>
      </c>
      <c r="H1292" s="85"/>
      <c r="I1292" s="86">
        <v>373.49</v>
      </c>
      <c r="J1292" s="185">
        <f>ROUND($I1292/$G1292*$N$11,2)</f>
        <v>151877.04</v>
      </c>
      <c r="K1292" s="189">
        <f t="shared" si="135"/>
        <v>425.26</v>
      </c>
      <c r="L1292" s="189"/>
      <c r="M1292" s="138"/>
      <c r="N1292" s="138"/>
      <c r="O1292" s="138"/>
      <c r="S1292" s="72"/>
      <c r="T1292" s="72"/>
      <c r="U1292" s="72"/>
      <c r="V1292" s="72"/>
    </row>
    <row r="1293" spans="1:22" s="63" customFormat="1" ht="45" x14ac:dyDescent="0.25">
      <c r="A1293" s="84">
        <v>9.2089999999999996</v>
      </c>
      <c r="B1293" s="81" t="s">
        <v>51</v>
      </c>
      <c r="C1293" s="82">
        <v>76</v>
      </c>
      <c r="D1293" s="131" t="s">
        <v>1222</v>
      </c>
      <c r="E1293" s="83" t="s">
        <v>1223</v>
      </c>
      <c r="F1293" s="81" t="s">
        <v>219</v>
      </c>
      <c r="G1293" s="82">
        <v>1</v>
      </c>
      <c r="H1293" s="85"/>
      <c r="I1293" s="86">
        <v>1435.79</v>
      </c>
      <c r="J1293" s="185">
        <f>ROUND($I1293/$G1293*$N$11,2)</f>
        <v>1634.79</v>
      </c>
      <c r="K1293" s="189">
        <f t="shared" si="135"/>
        <v>1634.79</v>
      </c>
      <c r="L1293" s="189"/>
      <c r="M1293" s="138"/>
      <c r="N1293" s="138"/>
      <c r="O1293" s="138"/>
      <c r="S1293" s="72"/>
      <c r="T1293" s="72"/>
      <c r="U1293" s="72"/>
      <c r="V1293" s="72"/>
    </row>
    <row r="1294" spans="1:22" s="63" customFormat="1" ht="22.5" x14ac:dyDescent="0.25">
      <c r="A1294" s="108">
        <v>9.2100000000000009</v>
      </c>
      <c r="B1294" s="102" t="s">
        <v>51</v>
      </c>
      <c r="C1294" s="103">
        <v>76.099999999999994</v>
      </c>
      <c r="D1294" s="167" t="s">
        <v>1239</v>
      </c>
      <c r="E1294" s="104" t="s">
        <v>3605</v>
      </c>
      <c r="F1294" s="102" t="s">
        <v>219</v>
      </c>
      <c r="G1294" s="105">
        <v>1</v>
      </c>
      <c r="H1294" s="106"/>
      <c r="I1294" s="107">
        <v>30729.7</v>
      </c>
      <c r="J1294" s="192">
        <f>ROUND($I1294/$G1294*$N$12,2)</f>
        <v>34371.17</v>
      </c>
      <c r="K1294" s="193">
        <f t="shared" si="135"/>
        <v>34371.17</v>
      </c>
      <c r="L1294" s="193"/>
      <c r="M1294" s="138"/>
      <c r="N1294" s="138"/>
      <c r="O1294" s="138"/>
      <c r="S1294" s="110"/>
      <c r="T1294" s="72"/>
      <c r="U1294" s="72"/>
      <c r="V1294" s="72"/>
    </row>
    <row r="1295" spans="1:22" s="63" customFormat="1" ht="22.5" x14ac:dyDescent="0.25">
      <c r="A1295" s="84">
        <v>9.2110000000000003</v>
      </c>
      <c r="B1295" s="81" t="s">
        <v>51</v>
      </c>
      <c r="C1295" s="82">
        <v>77</v>
      </c>
      <c r="D1295" s="131" t="s">
        <v>1225</v>
      </c>
      <c r="E1295" s="83" t="s">
        <v>1226</v>
      </c>
      <c r="F1295" s="81" t="s">
        <v>566</v>
      </c>
      <c r="G1295" s="80">
        <v>0.1</v>
      </c>
      <c r="H1295" s="85"/>
      <c r="I1295" s="86">
        <v>6364.14</v>
      </c>
      <c r="J1295" s="185">
        <f>ROUND($I1295/$G1295*$N$11,2)</f>
        <v>72462.100000000006</v>
      </c>
      <c r="K1295" s="189">
        <f t="shared" si="135"/>
        <v>7246.21</v>
      </c>
      <c r="L1295" s="189"/>
      <c r="M1295" s="138"/>
      <c r="N1295" s="138"/>
      <c r="O1295" s="138"/>
      <c r="S1295" s="72"/>
      <c r="T1295" s="72"/>
      <c r="U1295" s="72"/>
      <c r="V1295" s="72"/>
    </row>
    <row r="1296" spans="1:22" s="63" customFormat="1" ht="15" x14ac:dyDescent="0.25">
      <c r="A1296" s="84">
        <v>9.2119999999999997</v>
      </c>
      <c r="B1296" s="81" t="s">
        <v>51</v>
      </c>
      <c r="C1296" s="80">
        <v>77.099999999999994</v>
      </c>
      <c r="D1296" s="131" t="s">
        <v>1240</v>
      </c>
      <c r="E1296" s="83" t="s">
        <v>3606</v>
      </c>
      <c r="F1296" s="81" t="s">
        <v>219</v>
      </c>
      <c r="G1296" s="82">
        <v>1</v>
      </c>
      <c r="H1296" s="85"/>
      <c r="I1296" s="86">
        <v>22317.3</v>
      </c>
      <c r="J1296" s="185">
        <f>ROUND($I1296/$G1296*$N$11,2)</f>
        <v>25410.48</v>
      </c>
      <c r="K1296" s="189">
        <f t="shared" si="135"/>
        <v>25410.48</v>
      </c>
      <c r="L1296" s="189"/>
      <c r="M1296" s="138"/>
      <c r="N1296" s="138"/>
      <c r="O1296" s="138"/>
      <c r="S1296" s="72"/>
      <c r="T1296" s="72"/>
      <c r="U1296" s="72"/>
      <c r="V1296" s="72"/>
    </row>
    <row r="1297" spans="1:22" s="63" customFormat="1" ht="22.5" x14ac:dyDescent="0.25">
      <c r="A1297" s="84">
        <v>9.2129999999999992</v>
      </c>
      <c r="B1297" s="81" t="s">
        <v>51</v>
      </c>
      <c r="C1297" s="82">
        <v>78</v>
      </c>
      <c r="D1297" s="131" t="s">
        <v>783</v>
      </c>
      <c r="E1297" s="83" t="s">
        <v>1078</v>
      </c>
      <c r="F1297" s="81" t="s">
        <v>219</v>
      </c>
      <c r="G1297" s="82">
        <v>1</v>
      </c>
      <c r="H1297" s="85"/>
      <c r="I1297" s="86">
        <v>3276.2</v>
      </c>
      <c r="J1297" s="185">
        <f>ROUND($I1297/$G1297*$N$11,2)</f>
        <v>3730.28</v>
      </c>
      <c r="K1297" s="189">
        <f t="shared" si="135"/>
        <v>3730.28</v>
      </c>
      <c r="L1297" s="189"/>
      <c r="M1297" s="138"/>
      <c r="N1297" s="138"/>
      <c r="O1297" s="138"/>
      <c r="S1297" s="72"/>
      <c r="T1297" s="72"/>
      <c r="U1297" s="72"/>
      <c r="V1297" s="72"/>
    </row>
    <row r="1298" spans="1:22" s="63" customFormat="1" ht="22.5" x14ac:dyDescent="0.25">
      <c r="A1298" s="108">
        <v>9.2140000000000004</v>
      </c>
      <c r="B1298" s="102" t="s">
        <v>51</v>
      </c>
      <c r="C1298" s="103">
        <v>78.099999999999994</v>
      </c>
      <c r="D1298" s="167" t="s">
        <v>1228</v>
      </c>
      <c r="E1298" s="104" t="s">
        <v>3602</v>
      </c>
      <c r="F1298" s="102" t="s">
        <v>219</v>
      </c>
      <c r="G1298" s="105">
        <v>1</v>
      </c>
      <c r="H1298" s="106"/>
      <c r="I1298" s="107">
        <v>21212.97</v>
      </c>
      <c r="J1298" s="192">
        <f>ROUND($I1298/$G1298*$N$12,2)</f>
        <v>23726.71</v>
      </c>
      <c r="K1298" s="193">
        <f t="shared" si="135"/>
        <v>23726.71</v>
      </c>
      <c r="L1298" s="193"/>
      <c r="M1298" s="138"/>
      <c r="N1298" s="138"/>
      <c r="O1298" s="138"/>
      <c r="S1298" s="110"/>
      <c r="T1298" s="72"/>
      <c r="U1298" s="72"/>
      <c r="V1298" s="72"/>
    </row>
    <row r="1299" spans="1:22" s="63" customFormat="1" ht="22.5" x14ac:dyDescent="0.25">
      <c r="A1299" s="84">
        <v>9.2149999999999999</v>
      </c>
      <c r="B1299" s="81" t="s">
        <v>51</v>
      </c>
      <c r="C1299" s="82">
        <v>79</v>
      </c>
      <c r="D1299" s="131" t="s">
        <v>1111</v>
      </c>
      <c r="E1299" s="83" t="s">
        <v>1112</v>
      </c>
      <c r="F1299" s="81" t="s">
        <v>207</v>
      </c>
      <c r="G1299" s="88">
        <v>2.2800000000000001E-2</v>
      </c>
      <c r="H1299" s="85"/>
      <c r="I1299" s="86">
        <v>4277.05</v>
      </c>
      <c r="J1299" s="185">
        <f t="shared" ref="J1299:J1305" si="136">ROUND($I1299/$G1299*$N$11,2)</f>
        <v>213589.87</v>
      </c>
      <c r="K1299" s="189">
        <f t="shared" si="135"/>
        <v>4869.8500000000004</v>
      </c>
      <c r="L1299" s="189"/>
      <c r="M1299" s="138"/>
      <c r="N1299" s="138"/>
      <c r="O1299" s="138"/>
      <c r="S1299" s="72"/>
      <c r="T1299" s="72"/>
      <c r="U1299" s="72"/>
      <c r="V1299" s="72"/>
    </row>
    <row r="1300" spans="1:22" s="63" customFormat="1" ht="22.5" x14ac:dyDescent="0.25">
      <c r="A1300" s="84">
        <v>9.2159999999999993</v>
      </c>
      <c r="B1300" s="81" t="s">
        <v>51</v>
      </c>
      <c r="C1300" s="80">
        <v>79.099999999999994</v>
      </c>
      <c r="D1300" s="131" t="s">
        <v>1113</v>
      </c>
      <c r="E1300" s="83" t="s">
        <v>1114</v>
      </c>
      <c r="F1300" s="81" t="s">
        <v>370</v>
      </c>
      <c r="G1300" s="87">
        <v>2.2799999999999998</v>
      </c>
      <c r="H1300" s="85"/>
      <c r="I1300" s="86">
        <v>1893.48</v>
      </c>
      <c r="J1300" s="185">
        <f t="shared" si="136"/>
        <v>945.58</v>
      </c>
      <c r="K1300" s="189">
        <f t="shared" si="135"/>
        <v>2155.92</v>
      </c>
      <c r="L1300" s="189"/>
      <c r="M1300" s="138"/>
      <c r="N1300" s="138"/>
      <c r="O1300" s="138"/>
      <c r="S1300" s="72"/>
      <c r="T1300" s="72"/>
      <c r="U1300" s="72"/>
      <c r="V1300" s="72"/>
    </row>
    <row r="1301" spans="1:22" s="63" customFormat="1" ht="22.5" x14ac:dyDescent="0.25">
      <c r="A1301" s="84">
        <v>9.2170000000000005</v>
      </c>
      <c r="B1301" s="81" t="s">
        <v>51</v>
      </c>
      <c r="C1301" s="82">
        <v>80</v>
      </c>
      <c r="D1301" s="131" t="s">
        <v>1194</v>
      </c>
      <c r="E1301" s="83" t="s">
        <v>1198</v>
      </c>
      <c r="F1301" s="81" t="s">
        <v>207</v>
      </c>
      <c r="G1301" s="88">
        <v>3.9300000000000002E-2</v>
      </c>
      <c r="H1301" s="85"/>
      <c r="I1301" s="86">
        <v>4477.67</v>
      </c>
      <c r="J1301" s="185">
        <f t="shared" si="136"/>
        <v>129727.1</v>
      </c>
      <c r="K1301" s="189">
        <f t="shared" si="135"/>
        <v>5098.28</v>
      </c>
      <c r="L1301" s="189"/>
      <c r="M1301" s="138"/>
      <c r="N1301" s="138"/>
      <c r="O1301" s="138"/>
      <c r="S1301" s="72"/>
      <c r="T1301" s="72"/>
      <c r="U1301" s="72"/>
      <c r="V1301" s="72"/>
    </row>
    <row r="1302" spans="1:22" s="63" customFormat="1" ht="33.75" x14ac:dyDescent="0.25">
      <c r="A1302" s="84">
        <v>9.218</v>
      </c>
      <c r="B1302" s="81" t="s">
        <v>51</v>
      </c>
      <c r="C1302" s="80">
        <v>80.099999999999994</v>
      </c>
      <c r="D1302" s="131" t="s">
        <v>1108</v>
      </c>
      <c r="E1302" s="83" t="s">
        <v>3607</v>
      </c>
      <c r="F1302" s="81" t="s">
        <v>370</v>
      </c>
      <c r="G1302" s="87">
        <v>3.93</v>
      </c>
      <c r="H1302" s="85"/>
      <c r="I1302" s="86">
        <v>4966.2299999999996</v>
      </c>
      <c r="J1302" s="185">
        <f t="shared" si="136"/>
        <v>1438.82</v>
      </c>
      <c r="K1302" s="189">
        <f t="shared" si="135"/>
        <v>5654.56</v>
      </c>
      <c r="L1302" s="189"/>
      <c r="M1302" s="138"/>
      <c r="N1302" s="138"/>
      <c r="O1302" s="138"/>
      <c r="S1302" s="72"/>
      <c r="T1302" s="72"/>
      <c r="U1302" s="72"/>
      <c r="V1302" s="72"/>
    </row>
    <row r="1303" spans="1:22" s="63" customFormat="1" ht="33.75" x14ac:dyDescent="0.25">
      <c r="A1303" s="84">
        <v>9.2189999999999994</v>
      </c>
      <c r="B1303" s="81" t="s">
        <v>51</v>
      </c>
      <c r="C1303" s="80">
        <v>80.2</v>
      </c>
      <c r="D1303" s="131" t="s">
        <v>1116</v>
      </c>
      <c r="E1303" s="83" t="s">
        <v>1117</v>
      </c>
      <c r="F1303" s="81" t="s">
        <v>226</v>
      </c>
      <c r="G1303" s="87">
        <v>0.02</v>
      </c>
      <c r="H1303" s="85"/>
      <c r="I1303" s="86">
        <v>2251.44</v>
      </c>
      <c r="J1303" s="185">
        <f t="shared" si="136"/>
        <v>128174.48</v>
      </c>
      <c r="K1303" s="189">
        <f t="shared" si="135"/>
        <v>2563.4899999999998</v>
      </c>
      <c r="L1303" s="189"/>
      <c r="M1303" s="138"/>
      <c r="N1303" s="138"/>
      <c r="O1303" s="138"/>
      <c r="S1303" s="72"/>
      <c r="T1303" s="72"/>
      <c r="U1303" s="72"/>
      <c r="V1303" s="72"/>
    </row>
    <row r="1304" spans="1:22" s="63" customFormat="1" ht="22.5" x14ac:dyDescent="0.25">
      <c r="A1304" s="84">
        <v>9.2200000000000006</v>
      </c>
      <c r="B1304" s="81" t="s">
        <v>51</v>
      </c>
      <c r="C1304" s="82">
        <v>81</v>
      </c>
      <c r="D1304" s="131" t="s">
        <v>1143</v>
      </c>
      <c r="E1304" s="83" t="s">
        <v>1144</v>
      </c>
      <c r="F1304" s="81" t="s">
        <v>219</v>
      </c>
      <c r="G1304" s="82">
        <v>2</v>
      </c>
      <c r="H1304" s="85"/>
      <c r="I1304" s="86">
        <v>3048.59</v>
      </c>
      <c r="J1304" s="185">
        <f t="shared" si="136"/>
        <v>1735.56</v>
      </c>
      <c r="K1304" s="189">
        <f t="shared" si="135"/>
        <v>3471.12</v>
      </c>
      <c r="L1304" s="189"/>
      <c r="M1304" s="138"/>
      <c r="N1304" s="138"/>
      <c r="O1304" s="138"/>
      <c r="S1304" s="72"/>
      <c r="T1304" s="72"/>
      <c r="U1304" s="72"/>
      <c r="V1304" s="72"/>
    </row>
    <row r="1305" spans="1:22" s="63" customFormat="1" ht="22.5" x14ac:dyDescent="0.25">
      <c r="A1305" s="84">
        <v>9.2210000000000001</v>
      </c>
      <c r="B1305" s="81" t="s">
        <v>51</v>
      </c>
      <c r="C1305" s="80">
        <v>81.099999999999994</v>
      </c>
      <c r="D1305" s="131" t="s">
        <v>1241</v>
      </c>
      <c r="E1305" s="83" t="s">
        <v>1242</v>
      </c>
      <c r="F1305" s="81" t="s">
        <v>219</v>
      </c>
      <c r="G1305" s="82">
        <v>1</v>
      </c>
      <c r="H1305" s="85"/>
      <c r="I1305" s="86">
        <v>4119.08</v>
      </c>
      <c r="J1305" s="185">
        <f t="shared" si="136"/>
        <v>4689.9799999999996</v>
      </c>
      <c r="K1305" s="189">
        <f t="shared" si="135"/>
        <v>4689.9799999999996</v>
      </c>
      <c r="L1305" s="189"/>
      <c r="M1305" s="138"/>
      <c r="N1305" s="138"/>
      <c r="O1305" s="138"/>
      <c r="S1305" s="72"/>
      <c r="T1305" s="72"/>
      <c r="U1305" s="72"/>
      <c r="V1305" s="72"/>
    </row>
    <row r="1306" spans="1:22" s="63" customFormat="1" ht="22.5" x14ac:dyDescent="0.25">
      <c r="A1306" s="108">
        <v>9.2219999999999995</v>
      </c>
      <c r="B1306" s="102" t="s">
        <v>51</v>
      </c>
      <c r="C1306" s="103">
        <v>81.2</v>
      </c>
      <c r="D1306" s="167" t="s">
        <v>1145</v>
      </c>
      <c r="E1306" s="104" t="s">
        <v>1146</v>
      </c>
      <c r="F1306" s="102" t="s">
        <v>219</v>
      </c>
      <c r="G1306" s="105">
        <v>1</v>
      </c>
      <c r="H1306" s="106"/>
      <c r="I1306" s="107">
        <v>12157.2</v>
      </c>
      <c r="J1306" s="192">
        <f>ROUND($I1306/$G1306*$N$12,2)</f>
        <v>13597.83</v>
      </c>
      <c r="K1306" s="193">
        <f t="shared" si="135"/>
        <v>13597.83</v>
      </c>
      <c r="L1306" s="193"/>
      <c r="M1306" s="138"/>
      <c r="N1306" s="138"/>
      <c r="O1306" s="138"/>
      <c r="S1306" s="72"/>
      <c r="T1306" s="72"/>
      <c r="U1306" s="72"/>
      <c r="V1306" s="72"/>
    </row>
    <row r="1307" spans="1:22" s="63" customFormat="1" ht="22.5" x14ac:dyDescent="0.25">
      <c r="A1307" s="84">
        <v>9.2230000000000008</v>
      </c>
      <c r="B1307" s="81" t="s">
        <v>51</v>
      </c>
      <c r="C1307" s="82">
        <v>82</v>
      </c>
      <c r="D1307" s="131" t="s">
        <v>1151</v>
      </c>
      <c r="E1307" s="83" t="s">
        <v>1152</v>
      </c>
      <c r="F1307" s="81" t="s">
        <v>205</v>
      </c>
      <c r="G1307" s="84">
        <v>0.14699999999999999</v>
      </c>
      <c r="H1307" s="85"/>
      <c r="I1307" s="86">
        <v>3763.77</v>
      </c>
      <c r="J1307" s="185">
        <f>ROUND($I1307/$G1307*$N$11,2)</f>
        <v>29152.57</v>
      </c>
      <c r="K1307" s="189">
        <f t="shared" si="135"/>
        <v>4285.43</v>
      </c>
      <c r="L1307" s="189"/>
      <c r="M1307" s="138"/>
      <c r="N1307" s="138"/>
      <c r="O1307" s="138"/>
      <c r="S1307" s="72"/>
      <c r="T1307" s="72"/>
      <c r="U1307" s="72"/>
      <c r="V1307" s="72"/>
    </row>
    <row r="1308" spans="1:22" s="63" customFormat="1" ht="22.5" x14ac:dyDescent="0.25">
      <c r="A1308" s="84">
        <v>9.2240000000000002</v>
      </c>
      <c r="B1308" s="81" t="s">
        <v>51</v>
      </c>
      <c r="C1308" s="80">
        <v>82.1</v>
      </c>
      <c r="D1308" s="131" t="s">
        <v>1153</v>
      </c>
      <c r="E1308" s="83" t="s">
        <v>3573</v>
      </c>
      <c r="F1308" s="81" t="s">
        <v>370</v>
      </c>
      <c r="G1308" s="84">
        <v>5.1449999999999996</v>
      </c>
      <c r="H1308" s="85"/>
      <c r="I1308" s="86">
        <v>1822.35</v>
      </c>
      <c r="J1308" s="185">
        <f>ROUND($I1308/$G1308*$N$11,2)</f>
        <v>403.29</v>
      </c>
      <c r="K1308" s="189">
        <f t="shared" si="135"/>
        <v>2074.9299999999998</v>
      </c>
      <c r="L1308" s="189"/>
      <c r="M1308" s="138"/>
      <c r="N1308" s="138"/>
      <c r="O1308" s="138"/>
      <c r="S1308" s="72"/>
      <c r="T1308" s="72"/>
      <c r="U1308" s="72"/>
      <c r="V1308" s="72"/>
    </row>
    <row r="1309" spans="1:22" s="128" customFormat="1" ht="12.75" x14ac:dyDescent="0.25">
      <c r="A1309" s="242"/>
      <c r="B1309" s="125"/>
      <c r="C1309" s="236"/>
      <c r="D1309" s="77"/>
      <c r="E1309" s="126" t="s">
        <v>3296</v>
      </c>
      <c r="F1309" s="125"/>
      <c r="G1309" s="242"/>
      <c r="H1309" s="127"/>
      <c r="I1309" s="78"/>
      <c r="J1309" s="238"/>
      <c r="K1309" s="239"/>
      <c r="L1309" s="239"/>
      <c r="M1309" s="79"/>
      <c r="N1309" s="79"/>
      <c r="O1309" s="79"/>
      <c r="S1309" s="129"/>
      <c r="T1309" s="129"/>
      <c r="U1309" s="129"/>
      <c r="V1309" s="129"/>
    </row>
    <row r="1310" spans="1:22" s="63" customFormat="1" ht="15" x14ac:dyDescent="0.25">
      <c r="A1310" s="84">
        <v>9.2249999999999996</v>
      </c>
      <c r="B1310" s="81" t="s">
        <v>51</v>
      </c>
      <c r="C1310" s="82">
        <v>83</v>
      </c>
      <c r="D1310" s="131" t="s">
        <v>1220</v>
      </c>
      <c r="E1310" s="83" t="s">
        <v>1221</v>
      </c>
      <c r="F1310" s="81" t="s">
        <v>219</v>
      </c>
      <c r="G1310" s="82">
        <v>1</v>
      </c>
      <c r="H1310" s="85"/>
      <c r="I1310" s="86">
        <v>8223.4699999999993</v>
      </c>
      <c r="J1310" s="185">
        <f>ROUND($I1310/$G1310*$N$11,2)</f>
        <v>9363.24</v>
      </c>
      <c r="K1310" s="189">
        <f t="shared" ref="K1310:K1327" si="137">ROUND(G1310*J1310,2)</f>
        <v>9363.24</v>
      </c>
      <c r="L1310" s="189"/>
      <c r="M1310" s="138"/>
      <c r="N1310" s="138"/>
      <c r="O1310" s="138"/>
      <c r="S1310" s="72"/>
      <c r="T1310" s="72"/>
      <c r="U1310" s="72"/>
      <c r="V1310" s="72"/>
    </row>
    <row r="1311" spans="1:22" s="63" customFormat="1" ht="22.5" x14ac:dyDescent="0.25">
      <c r="A1311" s="84">
        <v>9.2260000000000009</v>
      </c>
      <c r="B1311" s="81" t="s">
        <v>51</v>
      </c>
      <c r="C1311" s="80">
        <v>83.1</v>
      </c>
      <c r="D1311" s="131" t="s">
        <v>1071</v>
      </c>
      <c r="E1311" s="83" t="s">
        <v>1072</v>
      </c>
      <c r="F1311" s="81" t="s">
        <v>226</v>
      </c>
      <c r="G1311" s="88">
        <v>2.8E-3</v>
      </c>
      <c r="H1311" s="85"/>
      <c r="I1311" s="86">
        <v>373.49</v>
      </c>
      <c r="J1311" s="185">
        <f>ROUND($I1311/$G1311*$N$11,2)</f>
        <v>151877.04</v>
      </c>
      <c r="K1311" s="189">
        <f t="shared" si="137"/>
        <v>425.26</v>
      </c>
      <c r="L1311" s="189"/>
      <c r="M1311" s="138"/>
      <c r="N1311" s="138"/>
      <c r="O1311" s="138"/>
      <c r="S1311" s="72"/>
      <c r="T1311" s="72"/>
      <c r="U1311" s="72"/>
      <c r="V1311" s="72"/>
    </row>
    <row r="1312" spans="1:22" s="63" customFormat="1" ht="45" x14ac:dyDescent="0.25">
      <c r="A1312" s="84">
        <v>9.2270000000000003</v>
      </c>
      <c r="B1312" s="81" t="s">
        <v>51</v>
      </c>
      <c r="C1312" s="82">
        <v>84</v>
      </c>
      <c r="D1312" s="131" t="s">
        <v>1222</v>
      </c>
      <c r="E1312" s="83" t="s">
        <v>1223</v>
      </c>
      <c r="F1312" s="81" t="s">
        <v>219</v>
      </c>
      <c r="G1312" s="82">
        <v>1</v>
      </c>
      <c r="H1312" s="85"/>
      <c r="I1312" s="86">
        <v>1435.79</v>
      </c>
      <c r="J1312" s="185">
        <f>ROUND($I1312/$G1312*$N$11,2)</f>
        <v>1634.79</v>
      </c>
      <c r="K1312" s="189">
        <f t="shared" si="137"/>
        <v>1634.79</v>
      </c>
      <c r="L1312" s="189"/>
      <c r="M1312" s="138"/>
      <c r="N1312" s="138"/>
      <c r="O1312" s="138"/>
      <c r="S1312" s="72"/>
      <c r="T1312" s="72"/>
      <c r="U1312" s="72"/>
      <c r="V1312" s="72"/>
    </row>
    <row r="1313" spans="1:22" s="63" customFormat="1" ht="22.5" x14ac:dyDescent="0.25">
      <c r="A1313" s="108">
        <v>9.2279999999999998</v>
      </c>
      <c r="B1313" s="102" t="s">
        <v>51</v>
      </c>
      <c r="C1313" s="103">
        <v>84.1</v>
      </c>
      <c r="D1313" s="167" t="s">
        <v>1239</v>
      </c>
      <c r="E1313" s="104" t="s">
        <v>3605</v>
      </c>
      <c r="F1313" s="102" t="s">
        <v>219</v>
      </c>
      <c r="G1313" s="105">
        <v>1</v>
      </c>
      <c r="H1313" s="106"/>
      <c r="I1313" s="107">
        <v>30729.7</v>
      </c>
      <c r="J1313" s="192">
        <f>ROUND($I1313/$G1313*$N$12,2)</f>
        <v>34371.17</v>
      </c>
      <c r="K1313" s="193">
        <f t="shared" si="137"/>
        <v>34371.17</v>
      </c>
      <c r="L1313" s="193"/>
      <c r="M1313" s="138"/>
      <c r="N1313" s="138"/>
      <c r="O1313" s="138"/>
      <c r="S1313" s="110"/>
      <c r="T1313" s="72"/>
      <c r="U1313" s="72"/>
      <c r="V1313" s="72"/>
    </row>
    <row r="1314" spans="1:22" s="63" customFormat="1" ht="22.5" x14ac:dyDescent="0.25">
      <c r="A1314" s="84">
        <v>9.2289999999999992</v>
      </c>
      <c r="B1314" s="81" t="s">
        <v>51</v>
      </c>
      <c r="C1314" s="82">
        <v>85</v>
      </c>
      <c r="D1314" s="131" t="s">
        <v>1225</v>
      </c>
      <c r="E1314" s="83" t="s">
        <v>1226</v>
      </c>
      <c r="F1314" s="81" t="s">
        <v>566</v>
      </c>
      <c r="G1314" s="80">
        <v>0.1</v>
      </c>
      <c r="H1314" s="85"/>
      <c r="I1314" s="86">
        <v>6364.14</v>
      </c>
      <c r="J1314" s="185">
        <f>ROUND($I1314/$G1314*$N$11,2)</f>
        <v>72462.100000000006</v>
      </c>
      <c r="K1314" s="189">
        <f t="shared" si="137"/>
        <v>7246.21</v>
      </c>
      <c r="L1314" s="189"/>
      <c r="M1314" s="138"/>
      <c r="N1314" s="138"/>
      <c r="O1314" s="138"/>
      <c r="S1314" s="72"/>
      <c r="T1314" s="72"/>
      <c r="U1314" s="72"/>
      <c r="V1314" s="72"/>
    </row>
    <row r="1315" spans="1:22" s="63" customFormat="1" ht="15" x14ac:dyDescent="0.25">
      <c r="A1315" s="84">
        <v>9.23</v>
      </c>
      <c r="B1315" s="81" t="s">
        <v>51</v>
      </c>
      <c r="C1315" s="80">
        <v>85.1</v>
      </c>
      <c r="D1315" s="131" t="s">
        <v>1240</v>
      </c>
      <c r="E1315" s="83" t="s">
        <v>3606</v>
      </c>
      <c r="F1315" s="81" t="s">
        <v>219</v>
      </c>
      <c r="G1315" s="82">
        <v>1</v>
      </c>
      <c r="H1315" s="85"/>
      <c r="I1315" s="86">
        <v>22317.3</v>
      </c>
      <c r="J1315" s="185">
        <f>ROUND($I1315/$G1315*$N$11,2)</f>
        <v>25410.48</v>
      </c>
      <c r="K1315" s="189">
        <f t="shared" si="137"/>
        <v>25410.48</v>
      </c>
      <c r="L1315" s="189"/>
      <c r="M1315" s="138"/>
      <c r="N1315" s="138"/>
      <c r="O1315" s="138"/>
      <c r="S1315" s="72"/>
      <c r="T1315" s="72"/>
      <c r="U1315" s="72"/>
      <c r="V1315" s="72"/>
    </row>
    <row r="1316" spans="1:22" s="63" customFormat="1" ht="22.5" x14ac:dyDescent="0.25">
      <c r="A1316" s="84">
        <v>9.2309999999999999</v>
      </c>
      <c r="B1316" s="81" t="s">
        <v>51</v>
      </c>
      <c r="C1316" s="82">
        <v>86</v>
      </c>
      <c r="D1316" s="131" t="s">
        <v>783</v>
      </c>
      <c r="E1316" s="83" t="s">
        <v>1078</v>
      </c>
      <c r="F1316" s="81" t="s">
        <v>219</v>
      </c>
      <c r="G1316" s="82">
        <v>1</v>
      </c>
      <c r="H1316" s="85"/>
      <c r="I1316" s="86">
        <v>3276.2</v>
      </c>
      <c r="J1316" s="185">
        <f>ROUND($I1316/$G1316*$N$11,2)</f>
        <v>3730.28</v>
      </c>
      <c r="K1316" s="189">
        <f t="shared" si="137"/>
        <v>3730.28</v>
      </c>
      <c r="L1316" s="189"/>
      <c r="M1316" s="138"/>
      <c r="N1316" s="138"/>
      <c r="O1316" s="138"/>
      <c r="S1316" s="72"/>
      <c r="T1316" s="72"/>
      <c r="U1316" s="72"/>
      <c r="V1316" s="72"/>
    </row>
    <row r="1317" spans="1:22" s="63" customFormat="1" ht="22.5" x14ac:dyDescent="0.25">
      <c r="A1317" s="108">
        <v>9.2319999999999993</v>
      </c>
      <c r="B1317" s="102" t="s">
        <v>51</v>
      </c>
      <c r="C1317" s="103">
        <v>86.1</v>
      </c>
      <c r="D1317" s="167" t="s">
        <v>1228</v>
      </c>
      <c r="E1317" s="104" t="s">
        <v>3602</v>
      </c>
      <c r="F1317" s="102" t="s">
        <v>219</v>
      </c>
      <c r="G1317" s="105">
        <v>1</v>
      </c>
      <c r="H1317" s="106"/>
      <c r="I1317" s="107">
        <v>21212.97</v>
      </c>
      <c r="J1317" s="192">
        <f>ROUND($I1317/$G1317*$N$12,2)</f>
        <v>23726.71</v>
      </c>
      <c r="K1317" s="193">
        <f t="shared" si="137"/>
        <v>23726.71</v>
      </c>
      <c r="L1317" s="193"/>
      <c r="M1317" s="138"/>
      <c r="N1317" s="138"/>
      <c r="O1317" s="138"/>
      <c r="S1317" s="110"/>
      <c r="T1317" s="72"/>
      <c r="U1317" s="72"/>
      <c r="V1317" s="72"/>
    </row>
    <row r="1318" spans="1:22" s="63" customFormat="1" ht="22.5" x14ac:dyDescent="0.25">
      <c r="A1318" s="84">
        <v>9.2330000000000005</v>
      </c>
      <c r="B1318" s="81" t="s">
        <v>51</v>
      </c>
      <c r="C1318" s="82">
        <v>87</v>
      </c>
      <c r="D1318" s="131" t="s">
        <v>1111</v>
      </c>
      <c r="E1318" s="83" t="s">
        <v>1112</v>
      </c>
      <c r="F1318" s="81" t="s">
        <v>207</v>
      </c>
      <c r="G1318" s="88">
        <v>2.2800000000000001E-2</v>
      </c>
      <c r="H1318" s="85"/>
      <c r="I1318" s="86">
        <v>4277.05</v>
      </c>
      <c r="J1318" s="185">
        <f t="shared" ref="J1318:J1324" si="138">ROUND($I1318/$G1318*$N$11,2)</f>
        <v>213589.87</v>
      </c>
      <c r="K1318" s="189">
        <f t="shared" si="137"/>
        <v>4869.8500000000004</v>
      </c>
      <c r="L1318" s="189"/>
      <c r="M1318" s="138"/>
      <c r="N1318" s="138"/>
      <c r="O1318" s="138"/>
      <c r="S1318" s="72"/>
      <c r="T1318" s="72"/>
      <c r="U1318" s="72"/>
      <c r="V1318" s="72"/>
    </row>
    <row r="1319" spans="1:22" s="63" customFormat="1" ht="22.5" x14ac:dyDescent="0.25">
      <c r="A1319" s="84">
        <v>9.234</v>
      </c>
      <c r="B1319" s="81" t="s">
        <v>51</v>
      </c>
      <c r="C1319" s="80">
        <v>87.1</v>
      </c>
      <c r="D1319" s="131" t="s">
        <v>1113</v>
      </c>
      <c r="E1319" s="83" t="s">
        <v>1114</v>
      </c>
      <c r="F1319" s="81" t="s">
        <v>370</v>
      </c>
      <c r="G1319" s="87">
        <v>2.2799999999999998</v>
      </c>
      <c r="H1319" s="85"/>
      <c r="I1319" s="86">
        <v>1893.48</v>
      </c>
      <c r="J1319" s="185">
        <f t="shared" si="138"/>
        <v>945.58</v>
      </c>
      <c r="K1319" s="189">
        <f t="shared" si="137"/>
        <v>2155.92</v>
      </c>
      <c r="L1319" s="189"/>
      <c r="M1319" s="138"/>
      <c r="N1319" s="138"/>
      <c r="O1319" s="138"/>
      <c r="S1319" s="72"/>
      <c r="T1319" s="72"/>
      <c r="U1319" s="72"/>
      <c r="V1319" s="72"/>
    </row>
    <row r="1320" spans="1:22" s="63" customFormat="1" ht="22.5" x14ac:dyDescent="0.25">
      <c r="A1320" s="84">
        <v>9.2349999999999994</v>
      </c>
      <c r="B1320" s="81" t="s">
        <v>51</v>
      </c>
      <c r="C1320" s="82">
        <v>88</v>
      </c>
      <c r="D1320" s="131" t="s">
        <v>1194</v>
      </c>
      <c r="E1320" s="83" t="s">
        <v>1198</v>
      </c>
      <c r="F1320" s="81" t="s">
        <v>207</v>
      </c>
      <c r="G1320" s="88">
        <v>3.9300000000000002E-2</v>
      </c>
      <c r="H1320" s="85"/>
      <c r="I1320" s="86">
        <v>4477.67</v>
      </c>
      <c r="J1320" s="185">
        <f t="shared" si="138"/>
        <v>129727.1</v>
      </c>
      <c r="K1320" s="189">
        <f t="shared" si="137"/>
        <v>5098.28</v>
      </c>
      <c r="L1320" s="189"/>
      <c r="M1320" s="138"/>
      <c r="N1320" s="138"/>
      <c r="O1320" s="138"/>
      <c r="S1320" s="72"/>
      <c r="T1320" s="72"/>
      <c r="U1320" s="72"/>
      <c r="V1320" s="72"/>
    </row>
    <row r="1321" spans="1:22" s="63" customFormat="1" ht="33.75" x14ac:dyDescent="0.25">
      <c r="A1321" s="84">
        <v>9.2360000000000007</v>
      </c>
      <c r="B1321" s="81" t="s">
        <v>51</v>
      </c>
      <c r="C1321" s="80">
        <v>88.1</v>
      </c>
      <c r="D1321" s="131" t="s">
        <v>1108</v>
      </c>
      <c r="E1321" s="83" t="s">
        <v>3607</v>
      </c>
      <c r="F1321" s="81" t="s">
        <v>370</v>
      </c>
      <c r="G1321" s="87">
        <v>3.93</v>
      </c>
      <c r="H1321" s="85"/>
      <c r="I1321" s="86">
        <v>4966.2299999999996</v>
      </c>
      <c r="J1321" s="185">
        <f t="shared" si="138"/>
        <v>1438.82</v>
      </c>
      <c r="K1321" s="189">
        <f t="shared" si="137"/>
        <v>5654.56</v>
      </c>
      <c r="L1321" s="189"/>
      <c r="M1321" s="138"/>
      <c r="N1321" s="138"/>
      <c r="O1321" s="138"/>
      <c r="S1321" s="72"/>
      <c r="T1321" s="72"/>
      <c r="U1321" s="72"/>
      <c r="V1321" s="72"/>
    </row>
    <row r="1322" spans="1:22" s="63" customFormat="1" ht="33.75" x14ac:dyDescent="0.25">
      <c r="A1322" s="84">
        <v>9.2370000000000001</v>
      </c>
      <c r="B1322" s="81" t="s">
        <v>51</v>
      </c>
      <c r="C1322" s="80">
        <v>88.2</v>
      </c>
      <c r="D1322" s="131" t="s">
        <v>1116</v>
      </c>
      <c r="E1322" s="83" t="s">
        <v>1117</v>
      </c>
      <c r="F1322" s="81" t="s">
        <v>226</v>
      </c>
      <c r="G1322" s="87">
        <v>0.02</v>
      </c>
      <c r="H1322" s="85"/>
      <c r="I1322" s="86">
        <v>2251.44</v>
      </c>
      <c r="J1322" s="185">
        <f t="shared" si="138"/>
        <v>128174.48</v>
      </c>
      <c r="K1322" s="189">
        <f t="shared" si="137"/>
        <v>2563.4899999999998</v>
      </c>
      <c r="L1322" s="189"/>
      <c r="M1322" s="138"/>
      <c r="N1322" s="138"/>
      <c r="O1322" s="138"/>
      <c r="S1322" s="72"/>
      <c r="T1322" s="72"/>
      <c r="U1322" s="72"/>
      <c r="V1322" s="72"/>
    </row>
    <row r="1323" spans="1:22" s="63" customFormat="1" ht="22.5" x14ac:dyDescent="0.25">
      <c r="A1323" s="84">
        <v>9.2379999999999995</v>
      </c>
      <c r="B1323" s="81" t="s">
        <v>51</v>
      </c>
      <c r="C1323" s="82">
        <v>89</v>
      </c>
      <c r="D1323" s="131" t="s">
        <v>1143</v>
      </c>
      <c r="E1323" s="83" t="s">
        <v>1144</v>
      </c>
      <c r="F1323" s="81" t="s">
        <v>219</v>
      </c>
      <c r="G1323" s="82">
        <v>2</v>
      </c>
      <c r="H1323" s="85"/>
      <c r="I1323" s="86">
        <v>3048.59</v>
      </c>
      <c r="J1323" s="185">
        <f t="shared" si="138"/>
        <v>1735.56</v>
      </c>
      <c r="K1323" s="189">
        <f t="shared" si="137"/>
        <v>3471.12</v>
      </c>
      <c r="L1323" s="189"/>
      <c r="M1323" s="138"/>
      <c r="N1323" s="138"/>
      <c r="O1323" s="138"/>
      <c r="S1323" s="72"/>
      <c r="T1323" s="72"/>
      <c r="U1323" s="72"/>
      <c r="V1323" s="72"/>
    </row>
    <row r="1324" spans="1:22" s="63" customFormat="1" ht="22.5" x14ac:dyDescent="0.25">
      <c r="A1324" s="84">
        <v>9.2390000000000008</v>
      </c>
      <c r="B1324" s="81" t="s">
        <v>51</v>
      </c>
      <c r="C1324" s="80">
        <v>89.1</v>
      </c>
      <c r="D1324" s="131" t="s">
        <v>1241</v>
      </c>
      <c r="E1324" s="83" t="s">
        <v>1242</v>
      </c>
      <c r="F1324" s="81" t="s">
        <v>219</v>
      </c>
      <c r="G1324" s="82">
        <v>1</v>
      </c>
      <c r="H1324" s="85"/>
      <c r="I1324" s="86">
        <v>4119.08</v>
      </c>
      <c r="J1324" s="185">
        <f t="shared" si="138"/>
        <v>4689.9799999999996</v>
      </c>
      <c r="K1324" s="189">
        <f t="shared" si="137"/>
        <v>4689.9799999999996</v>
      </c>
      <c r="L1324" s="189"/>
      <c r="M1324" s="138"/>
      <c r="N1324" s="138"/>
      <c r="O1324" s="138"/>
      <c r="S1324" s="72"/>
      <c r="T1324" s="72"/>
      <c r="U1324" s="72"/>
      <c r="V1324" s="72"/>
    </row>
    <row r="1325" spans="1:22" s="63" customFormat="1" ht="22.5" x14ac:dyDescent="0.25">
      <c r="A1325" s="108">
        <v>9.24</v>
      </c>
      <c r="B1325" s="102" t="s">
        <v>51</v>
      </c>
      <c r="C1325" s="103">
        <v>89.2</v>
      </c>
      <c r="D1325" s="167" t="s">
        <v>1145</v>
      </c>
      <c r="E1325" s="104" t="s">
        <v>1146</v>
      </c>
      <c r="F1325" s="102" t="s">
        <v>219</v>
      </c>
      <c r="G1325" s="105">
        <v>1</v>
      </c>
      <c r="H1325" s="106"/>
      <c r="I1325" s="107">
        <v>12157.2</v>
      </c>
      <c r="J1325" s="192">
        <f>ROUND($I1325/$G1325*$N$12,2)</f>
        <v>13597.83</v>
      </c>
      <c r="K1325" s="193">
        <f t="shared" si="137"/>
        <v>13597.83</v>
      </c>
      <c r="L1325" s="193"/>
      <c r="M1325" s="138"/>
      <c r="N1325" s="138"/>
      <c r="O1325" s="138"/>
      <c r="S1325" s="72"/>
      <c r="T1325" s="72"/>
      <c r="U1325" s="72"/>
      <c r="V1325" s="72"/>
    </row>
    <row r="1326" spans="1:22" s="63" customFormat="1" ht="22.5" x14ac:dyDescent="0.25">
      <c r="A1326" s="84">
        <v>9.2409999999999997</v>
      </c>
      <c r="B1326" s="81" t="s">
        <v>51</v>
      </c>
      <c r="C1326" s="82">
        <v>90</v>
      </c>
      <c r="D1326" s="131" t="s">
        <v>1151</v>
      </c>
      <c r="E1326" s="83" t="s">
        <v>1152</v>
      </c>
      <c r="F1326" s="81" t="s">
        <v>205</v>
      </c>
      <c r="G1326" s="84">
        <v>0.14699999999999999</v>
      </c>
      <c r="H1326" s="85"/>
      <c r="I1326" s="86">
        <v>3763.77</v>
      </c>
      <c r="J1326" s="185">
        <f>ROUND($I1326/$G1326*$N$11,2)</f>
        <v>29152.57</v>
      </c>
      <c r="K1326" s="189">
        <f t="shared" si="137"/>
        <v>4285.43</v>
      </c>
      <c r="L1326" s="189"/>
      <c r="M1326" s="138"/>
      <c r="N1326" s="138"/>
      <c r="O1326" s="138"/>
      <c r="S1326" s="72"/>
      <c r="T1326" s="72"/>
      <c r="U1326" s="72"/>
      <c r="V1326" s="72"/>
    </row>
    <row r="1327" spans="1:22" s="63" customFormat="1" ht="22.5" x14ac:dyDescent="0.25">
      <c r="A1327" s="84">
        <v>9.2420000000000009</v>
      </c>
      <c r="B1327" s="81" t="s">
        <v>51</v>
      </c>
      <c r="C1327" s="80">
        <v>90.1</v>
      </c>
      <c r="D1327" s="131" t="s">
        <v>1153</v>
      </c>
      <c r="E1327" s="83" t="s">
        <v>3573</v>
      </c>
      <c r="F1327" s="81" t="s">
        <v>370</v>
      </c>
      <c r="G1327" s="84">
        <v>5.1449999999999996</v>
      </c>
      <c r="H1327" s="85"/>
      <c r="I1327" s="86">
        <v>1822.35</v>
      </c>
      <c r="J1327" s="185">
        <f>ROUND($I1327/$G1327*$N$11,2)</f>
        <v>403.29</v>
      </c>
      <c r="K1327" s="189">
        <f t="shared" si="137"/>
        <v>2074.9299999999998</v>
      </c>
      <c r="L1327" s="189"/>
      <c r="M1327" s="138"/>
      <c r="N1327" s="138"/>
      <c r="O1327" s="138"/>
      <c r="S1327" s="72"/>
      <c r="T1327" s="72"/>
      <c r="U1327" s="72"/>
      <c r="V1327" s="72"/>
    </row>
    <row r="1328" spans="1:22" s="128" customFormat="1" ht="12.75" x14ac:dyDescent="0.25">
      <c r="A1328" s="242"/>
      <c r="B1328" s="125"/>
      <c r="C1328" s="236"/>
      <c r="D1328" s="77"/>
      <c r="E1328" s="126" t="s">
        <v>3297</v>
      </c>
      <c r="F1328" s="125"/>
      <c r="G1328" s="242"/>
      <c r="H1328" s="127"/>
      <c r="I1328" s="78"/>
      <c r="J1328" s="238"/>
      <c r="K1328" s="239"/>
      <c r="L1328" s="239"/>
      <c r="M1328" s="79"/>
      <c r="N1328" s="79"/>
      <c r="O1328" s="79"/>
      <c r="S1328" s="129"/>
      <c r="T1328" s="129"/>
      <c r="U1328" s="129"/>
      <c r="V1328" s="129"/>
    </row>
    <row r="1329" spans="1:22" s="63" customFormat="1" ht="15" x14ac:dyDescent="0.25">
      <c r="A1329" s="84">
        <v>9.2430000000000003</v>
      </c>
      <c r="B1329" s="81" t="s">
        <v>51</v>
      </c>
      <c r="C1329" s="82">
        <v>91</v>
      </c>
      <c r="D1329" s="131" t="s">
        <v>1220</v>
      </c>
      <c r="E1329" s="83" t="s">
        <v>1221</v>
      </c>
      <c r="F1329" s="81" t="s">
        <v>219</v>
      </c>
      <c r="G1329" s="82">
        <v>1</v>
      </c>
      <c r="H1329" s="85"/>
      <c r="I1329" s="86">
        <v>8223.4699999999993</v>
      </c>
      <c r="J1329" s="185">
        <f>ROUND($I1329/$G1329*$N$11,2)</f>
        <v>9363.24</v>
      </c>
      <c r="K1329" s="189">
        <f t="shared" ref="K1329:K1373" si="139">ROUND(G1329*J1329,2)</f>
        <v>9363.24</v>
      </c>
      <c r="L1329" s="189"/>
      <c r="M1329" s="138"/>
      <c r="N1329" s="138"/>
      <c r="O1329" s="138"/>
      <c r="S1329" s="72"/>
      <c r="T1329" s="72"/>
      <c r="U1329" s="72"/>
      <c r="V1329" s="72"/>
    </row>
    <row r="1330" spans="1:22" s="63" customFormat="1" ht="22.5" x14ac:dyDescent="0.25">
      <c r="A1330" s="84">
        <v>9.2439999999999998</v>
      </c>
      <c r="B1330" s="81" t="s">
        <v>51</v>
      </c>
      <c r="C1330" s="80">
        <v>91.1</v>
      </c>
      <c r="D1330" s="131" t="s">
        <v>1071</v>
      </c>
      <c r="E1330" s="83" t="s">
        <v>1072</v>
      </c>
      <c r="F1330" s="81" t="s">
        <v>226</v>
      </c>
      <c r="G1330" s="88">
        <v>2.8E-3</v>
      </c>
      <c r="H1330" s="85"/>
      <c r="I1330" s="86">
        <v>373.49</v>
      </c>
      <c r="J1330" s="185">
        <f>ROUND($I1330/$G1330*$N$11,2)</f>
        <v>151877.04</v>
      </c>
      <c r="K1330" s="189">
        <f t="shared" si="139"/>
        <v>425.26</v>
      </c>
      <c r="L1330" s="189"/>
      <c r="M1330" s="138"/>
      <c r="N1330" s="138"/>
      <c r="O1330" s="138"/>
      <c r="S1330" s="72"/>
      <c r="T1330" s="72"/>
      <c r="U1330" s="72"/>
      <c r="V1330" s="72"/>
    </row>
    <row r="1331" spans="1:22" s="63" customFormat="1" ht="45" x14ac:dyDescent="0.25">
      <c r="A1331" s="84">
        <v>9.2449999999999992</v>
      </c>
      <c r="B1331" s="81" t="s">
        <v>51</v>
      </c>
      <c r="C1331" s="82">
        <v>92</v>
      </c>
      <c r="D1331" s="131" t="s">
        <v>1222</v>
      </c>
      <c r="E1331" s="83" t="s">
        <v>1223</v>
      </c>
      <c r="F1331" s="81" t="s">
        <v>219</v>
      </c>
      <c r="G1331" s="82">
        <v>1</v>
      </c>
      <c r="H1331" s="85"/>
      <c r="I1331" s="86">
        <v>1435.79</v>
      </c>
      <c r="J1331" s="185">
        <f>ROUND($I1331/$G1331*$N$11,2)</f>
        <v>1634.79</v>
      </c>
      <c r="K1331" s="189">
        <f t="shared" si="139"/>
        <v>1634.79</v>
      </c>
      <c r="L1331" s="189"/>
      <c r="M1331" s="138"/>
      <c r="N1331" s="138"/>
      <c r="O1331" s="138"/>
      <c r="S1331" s="72"/>
      <c r="T1331" s="72"/>
      <c r="U1331" s="72"/>
      <c r="V1331" s="72"/>
    </row>
    <row r="1332" spans="1:22" s="63" customFormat="1" ht="22.5" x14ac:dyDescent="0.25">
      <c r="A1332" s="108">
        <v>9.2460000000000004</v>
      </c>
      <c r="B1332" s="102" t="s">
        <v>51</v>
      </c>
      <c r="C1332" s="103">
        <v>92.1</v>
      </c>
      <c r="D1332" s="167" t="s">
        <v>1243</v>
      </c>
      <c r="E1332" s="104" t="s">
        <v>3608</v>
      </c>
      <c r="F1332" s="102" t="s">
        <v>219</v>
      </c>
      <c r="G1332" s="105">
        <v>1</v>
      </c>
      <c r="H1332" s="106"/>
      <c r="I1332" s="107">
        <v>41882.400000000001</v>
      </c>
      <c r="J1332" s="192">
        <f>ROUND($I1332/$G1332*$N$12,2)</f>
        <v>46845.46</v>
      </c>
      <c r="K1332" s="193">
        <f t="shared" si="139"/>
        <v>46845.46</v>
      </c>
      <c r="L1332" s="193"/>
      <c r="M1332" s="138"/>
      <c r="N1332" s="138"/>
      <c r="O1332" s="138"/>
      <c r="S1332" s="110"/>
      <c r="T1332" s="72"/>
      <c r="U1332" s="72"/>
      <c r="V1332" s="72"/>
    </row>
    <row r="1333" spans="1:22" s="63" customFormat="1" ht="22.5" x14ac:dyDescent="0.25">
      <c r="A1333" s="84">
        <v>9.2469999999999999</v>
      </c>
      <c r="B1333" s="81" t="s">
        <v>51</v>
      </c>
      <c r="C1333" s="82">
        <v>93</v>
      </c>
      <c r="D1333" s="131" t="s">
        <v>1225</v>
      </c>
      <c r="E1333" s="83" t="s">
        <v>1226</v>
      </c>
      <c r="F1333" s="81" t="s">
        <v>566</v>
      </c>
      <c r="G1333" s="80">
        <v>0.1</v>
      </c>
      <c r="H1333" s="85"/>
      <c r="I1333" s="86">
        <v>6364.14</v>
      </c>
      <c r="J1333" s="185">
        <f>ROUND($I1333/$G1333*$N$11,2)</f>
        <v>72462.100000000006</v>
      </c>
      <c r="K1333" s="189">
        <f t="shared" si="139"/>
        <v>7246.21</v>
      </c>
      <c r="L1333" s="189"/>
      <c r="M1333" s="138"/>
      <c r="N1333" s="138"/>
      <c r="O1333" s="138"/>
      <c r="S1333" s="72"/>
      <c r="T1333" s="72"/>
      <c r="U1333" s="72"/>
      <c r="V1333" s="72"/>
    </row>
    <row r="1334" spans="1:22" s="63" customFormat="1" ht="22.5" x14ac:dyDescent="0.25">
      <c r="A1334" s="84">
        <v>9.2479999999999993</v>
      </c>
      <c r="B1334" s="81" t="s">
        <v>51</v>
      </c>
      <c r="C1334" s="80">
        <v>93.1</v>
      </c>
      <c r="D1334" s="131" t="s">
        <v>1244</v>
      </c>
      <c r="E1334" s="83" t="s">
        <v>3609</v>
      </c>
      <c r="F1334" s="81" t="s">
        <v>219</v>
      </c>
      <c r="G1334" s="82">
        <v>1</v>
      </c>
      <c r="H1334" s="85"/>
      <c r="I1334" s="86">
        <v>25269.02</v>
      </c>
      <c r="J1334" s="185">
        <f>ROUND($I1334/$G1334*$N$11,2)</f>
        <v>28771.31</v>
      </c>
      <c r="K1334" s="189">
        <f t="shared" si="139"/>
        <v>28771.31</v>
      </c>
      <c r="L1334" s="189"/>
      <c r="M1334" s="138"/>
      <c r="N1334" s="138"/>
      <c r="O1334" s="138"/>
      <c r="S1334" s="72"/>
      <c r="T1334" s="72"/>
      <c r="U1334" s="72"/>
      <c r="V1334" s="72"/>
    </row>
    <row r="1335" spans="1:22" s="63" customFormat="1" ht="22.5" x14ac:dyDescent="0.25">
      <c r="A1335" s="84">
        <v>9.2490000000000006</v>
      </c>
      <c r="B1335" s="81" t="s">
        <v>51</v>
      </c>
      <c r="C1335" s="82">
        <v>94</v>
      </c>
      <c r="D1335" s="131" t="s">
        <v>783</v>
      </c>
      <c r="E1335" s="83" t="s">
        <v>1078</v>
      </c>
      <c r="F1335" s="81" t="s">
        <v>219</v>
      </c>
      <c r="G1335" s="82">
        <v>1</v>
      </c>
      <c r="H1335" s="85"/>
      <c r="I1335" s="86">
        <v>3276.2</v>
      </c>
      <c r="J1335" s="185">
        <f>ROUND($I1335/$G1335*$N$11,2)</f>
        <v>3730.28</v>
      </c>
      <c r="K1335" s="189">
        <f t="shared" si="139"/>
        <v>3730.28</v>
      </c>
      <c r="L1335" s="189"/>
      <c r="M1335" s="138"/>
      <c r="N1335" s="138"/>
      <c r="O1335" s="138"/>
      <c r="S1335" s="72"/>
      <c r="T1335" s="72"/>
      <c r="U1335" s="72"/>
      <c r="V1335" s="72"/>
    </row>
    <row r="1336" spans="1:22" s="63" customFormat="1" ht="22.5" x14ac:dyDescent="0.25">
      <c r="A1336" s="108">
        <v>9.25</v>
      </c>
      <c r="B1336" s="102" t="s">
        <v>51</v>
      </c>
      <c r="C1336" s="103">
        <v>94.1</v>
      </c>
      <c r="D1336" s="167" t="s">
        <v>1228</v>
      </c>
      <c r="E1336" s="104" t="s">
        <v>3602</v>
      </c>
      <c r="F1336" s="102" t="s">
        <v>219</v>
      </c>
      <c r="G1336" s="105">
        <v>1</v>
      </c>
      <c r="H1336" s="106"/>
      <c r="I1336" s="107">
        <v>21212.97</v>
      </c>
      <c r="J1336" s="192">
        <f>ROUND($I1336/$G1336*$N$12,2)</f>
        <v>23726.71</v>
      </c>
      <c r="K1336" s="193">
        <f t="shared" si="139"/>
        <v>23726.71</v>
      </c>
      <c r="L1336" s="193"/>
      <c r="M1336" s="138"/>
      <c r="N1336" s="138"/>
      <c r="O1336" s="138"/>
      <c r="S1336" s="110"/>
      <c r="T1336" s="72"/>
      <c r="U1336" s="72"/>
      <c r="V1336" s="72"/>
    </row>
    <row r="1337" spans="1:22" s="63" customFormat="1" ht="22.5" x14ac:dyDescent="0.25">
      <c r="A1337" s="84">
        <v>9.2509999999999994</v>
      </c>
      <c r="B1337" s="81" t="s">
        <v>51</v>
      </c>
      <c r="C1337" s="82">
        <v>95</v>
      </c>
      <c r="D1337" s="131" t="s">
        <v>1086</v>
      </c>
      <c r="E1337" s="83" t="s">
        <v>1087</v>
      </c>
      <c r="F1337" s="81" t="s">
        <v>207</v>
      </c>
      <c r="G1337" s="84">
        <v>8.1000000000000003E-2</v>
      </c>
      <c r="H1337" s="85"/>
      <c r="I1337" s="86">
        <v>15190.25</v>
      </c>
      <c r="J1337" s="185">
        <f t="shared" ref="J1337:J1364" si="140">ROUND($I1337/$G1337*$N$11,2)</f>
        <v>213526.16</v>
      </c>
      <c r="K1337" s="189">
        <f t="shared" si="139"/>
        <v>17295.62</v>
      </c>
      <c r="L1337" s="189"/>
      <c r="M1337" s="138"/>
      <c r="N1337" s="138"/>
      <c r="O1337" s="138"/>
      <c r="S1337" s="72"/>
      <c r="T1337" s="72"/>
      <c r="U1337" s="72"/>
      <c r="V1337" s="72"/>
    </row>
    <row r="1338" spans="1:22" s="63" customFormat="1" ht="15" x14ac:dyDescent="0.25">
      <c r="A1338" s="84">
        <v>9.2520000000000007</v>
      </c>
      <c r="B1338" s="81" t="s">
        <v>51</v>
      </c>
      <c r="C1338" s="80">
        <v>95.1</v>
      </c>
      <c r="D1338" s="131" t="s">
        <v>1245</v>
      </c>
      <c r="E1338" s="83" t="s">
        <v>3610</v>
      </c>
      <c r="F1338" s="81" t="s">
        <v>219</v>
      </c>
      <c r="G1338" s="82">
        <v>1</v>
      </c>
      <c r="H1338" s="85"/>
      <c r="I1338" s="86">
        <v>2550.16</v>
      </c>
      <c r="J1338" s="185">
        <f t="shared" si="140"/>
        <v>2903.61</v>
      </c>
      <c r="K1338" s="189">
        <f t="shared" si="139"/>
        <v>2903.61</v>
      </c>
      <c r="L1338" s="189"/>
      <c r="M1338" s="138"/>
      <c r="N1338" s="138"/>
      <c r="O1338" s="138"/>
      <c r="S1338" s="72"/>
      <c r="T1338" s="72"/>
      <c r="U1338" s="72"/>
      <c r="V1338" s="72"/>
    </row>
    <row r="1339" spans="1:22" s="63" customFormat="1" ht="22.5" x14ac:dyDescent="0.25">
      <c r="A1339" s="84">
        <v>9.2530000000000001</v>
      </c>
      <c r="B1339" s="81" t="s">
        <v>51</v>
      </c>
      <c r="C1339" s="80">
        <v>95.2</v>
      </c>
      <c r="D1339" s="131" t="s">
        <v>1088</v>
      </c>
      <c r="E1339" s="83" t="s">
        <v>1089</v>
      </c>
      <c r="F1339" s="81" t="s">
        <v>370</v>
      </c>
      <c r="G1339" s="80">
        <v>8.1</v>
      </c>
      <c r="H1339" s="85"/>
      <c r="I1339" s="86">
        <v>7366.14</v>
      </c>
      <c r="J1339" s="185">
        <f t="shared" si="140"/>
        <v>1035.44</v>
      </c>
      <c r="K1339" s="189">
        <f t="shared" si="139"/>
        <v>8387.06</v>
      </c>
      <c r="L1339" s="189"/>
      <c r="M1339" s="138"/>
      <c r="N1339" s="138"/>
      <c r="O1339" s="138"/>
      <c r="S1339" s="72"/>
      <c r="T1339" s="72"/>
      <c r="U1339" s="72"/>
      <c r="V1339" s="72"/>
    </row>
    <row r="1340" spans="1:22" s="63" customFormat="1" ht="22.5" x14ac:dyDescent="0.25">
      <c r="A1340" s="84">
        <v>9.2539999999999996</v>
      </c>
      <c r="B1340" s="81" t="s">
        <v>51</v>
      </c>
      <c r="C1340" s="82">
        <v>96</v>
      </c>
      <c r="D1340" s="131" t="s">
        <v>1158</v>
      </c>
      <c r="E1340" s="83" t="s">
        <v>1159</v>
      </c>
      <c r="F1340" s="81" t="s">
        <v>207</v>
      </c>
      <c r="G1340" s="88">
        <v>9.2399999999999996E-2</v>
      </c>
      <c r="H1340" s="85"/>
      <c r="I1340" s="86">
        <v>15867.89</v>
      </c>
      <c r="J1340" s="185">
        <f t="shared" si="140"/>
        <v>195532.25</v>
      </c>
      <c r="K1340" s="189">
        <f t="shared" si="139"/>
        <v>18067.18</v>
      </c>
      <c r="L1340" s="189"/>
      <c r="M1340" s="138"/>
      <c r="N1340" s="138"/>
      <c r="O1340" s="138"/>
      <c r="S1340" s="72"/>
      <c r="T1340" s="72"/>
      <c r="U1340" s="72"/>
      <c r="V1340" s="72"/>
    </row>
    <row r="1341" spans="1:22" s="63" customFormat="1" ht="22.5" x14ac:dyDescent="0.25">
      <c r="A1341" s="84">
        <v>9.2550000000000008</v>
      </c>
      <c r="B1341" s="81" t="s">
        <v>51</v>
      </c>
      <c r="C1341" s="80">
        <v>96.1</v>
      </c>
      <c r="D1341" s="131" t="s">
        <v>1246</v>
      </c>
      <c r="E1341" s="83" t="s">
        <v>1247</v>
      </c>
      <c r="F1341" s="81" t="s">
        <v>370</v>
      </c>
      <c r="G1341" s="87">
        <v>0.84</v>
      </c>
      <c r="H1341" s="85"/>
      <c r="I1341" s="86">
        <v>996.6</v>
      </c>
      <c r="J1341" s="185">
        <f t="shared" si="140"/>
        <v>1350.87</v>
      </c>
      <c r="K1341" s="189">
        <f t="shared" si="139"/>
        <v>1134.73</v>
      </c>
      <c r="L1341" s="189"/>
      <c r="M1341" s="138"/>
      <c r="N1341" s="138"/>
      <c r="O1341" s="138"/>
      <c r="S1341" s="72"/>
      <c r="T1341" s="72"/>
      <c r="U1341" s="72"/>
      <c r="V1341" s="72"/>
    </row>
    <row r="1342" spans="1:22" s="63" customFormat="1" ht="22.5" x14ac:dyDescent="0.25">
      <c r="A1342" s="84">
        <v>9.2560000000000002</v>
      </c>
      <c r="B1342" s="81" t="s">
        <v>51</v>
      </c>
      <c r="C1342" s="80">
        <v>96.2</v>
      </c>
      <c r="D1342" s="131" t="s">
        <v>1160</v>
      </c>
      <c r="E1342" s="83" t="s">
        <v>1161</v>
      </c>
      <c r="F1342" s="81" t="s">
        <v>370</v>
      </c>
      <c r="G1342" s="80">
        <v>4.8</v>
      </c>
      <c r="H1342" s="85"/>
      <c r="I1342" s="86">
        <v>5556.93</v>
      </c>
      <c r="J1342" s="185">
        <f t="shared" si="140"/>
        <v>1318.15</v>
      </c>
      <c r="K1342" s="189">
        <f t="shared" si="139"/>
        <v>6327.12</v>
      </c>
      <c r="L1342" s="189"/>
      <c r="M1342" s="138"/>
      <c r="N1342" s="138"/>
      <c r="O1342" s="138"/>
      <c r="S1342" s="72"/>
      <c r="T1342" s="72"/>
      <c r="U1342" s="72"/>
      <c r="V1342" s="72"/>
    </row>
    <row r="1343" spans="1:22" s="63" customFormat="1" ht="22.5" x14ac:dyDescent="0.25">
      <c r="A1343" s="84">
        <v>9.2569999999999997</v>
      </c>
      <c r="B1343" s="81" t="s">
        <v>51</v>
      </c>
      <c r="C1343" s="80">
        <v>96.3</v>
      </c>
      <c r="D1343" s="131" t="s">
        <v>1162</v>
      </c>
      <c r="E1343" s="83" t="s">
        <v>1163</v>
      </c>
      <c r="F1343" s="81" t="s">
        <v>370</v>
      </c>
      <c r="G1343" s="80">
        <v>3.6</v>
      </c>
      <c r="H1343" s="85"/>
      <c r="I1343" s="86">
        <v>4096.08</v>
      </c>
      <c r="J1343" s="185">
        <f t="shared" si="140"/>
        <v>1295.5</v>
      </c>
      <c r="K1343" s="189">
        <f t="shared" si="139"/>
        <v>4663.8</v>
      </c>
      <c r="L1343" s="189"/>
      <c r="M1343" s="138"/>
      <c r="N1343" s="138"/>
      <c r="O1343" s="138"/>
      <c r="S1343" s="72"/>
      <c r="T1343" s="72"/>
      <c r="U1343" s="72"/>
      <c r="V1343" s="72"/>
    </row>
    <row r="1344" spans="1:22" s="63" customFormat="1" ht="33.75" x14ac:dyDescent="0.25">
      <c r="A1344" s="84">
        <v>9.2579999999999991</v>
      </c>
      <c r="B1344" s="81" t="s">
        <v>51</v>
      </c>
      <c r="C1344" s="82">
        <v>97</v>
      </c>
      <c r="D1344" s="131" t="s">
        <v>1090</v>
      </c>
      <c r="E1344" s="83" t="s">
        <v>1248</v>
      </c>
      <c r="F1344" s="81" t="s">
        <v>207</v>
      </c>
      <c r="G1344" s="88">
        <v>0.18360000000000001</v>
      </c>
      <c r="H1344" s="85"/>
      <c r="I1344" s="86">
        <v>27316.86</v>
      </c>
      <c r="J1344" s="185">
        <f t="shared" si="140"/>
        <v>169406.19</v>
      </c>
      <c r="K1344" s="189">
        <f t="shared" si="139"/>
        <v>31102.98</v>
      </c>
      <c r="L1344" s="189"/>
      <c r="M1344" s="138"/>
      <c r="N1344" s="138"/>
      <c r="O1344" s="138"/>
      <c r="S1344" s="72"/>
      <c r="T1344" s="72"/>
      <c r="U1344" s="72"/>
      <c r="V1344" s="72"/>
    </row>
    <row r="1345" spans="1:22" s="63" customFormat="1" ht="22.5" x14ac:dyDescent="0.25">
      <c r="A1345" s="84">
        <v>9.2590000000000003</v>
      </c>
      <c r="B1345" s="81" t="s">
        <v>51</v>
      </c>
      <c r="C1345" s="80">
        <v>97.1</v>
      </c>
      <c r="D1345" s="131" t="s">
        <v>1169</v>
      </c>
      <c r="E1345" s="83" t="s">
        <v>1170</v>
      </c>
      <c r="F1345" s="81" t="s">
        <v>370</v>
      </c>
      <c r="G1345" s="87">
        <v>3.85</v>
      </c>
      <c r="H1345" s="85"/>
      <c r="I1345" s="86">
        <v>5121.3599999999997</v>
      </c>
      <c r="J1345" s="185">
        <f t="shared" si="140"/>
        <v>1514.59</v>
      </c>
      <c r="K1345" s="189">
        <f t="shared" si="139"/>
        <v>5831.17</v>
      </c>
      <c r="L1345" s="189"/>
      <c r="M1345" s="138"/>
      <c r="N1345" s="138"/>
      <c r="O1345" s="138"/>
      <c r="S1345" s="72"/>
      <c r="T1345" s="72"/>
      <c r="U1345" s="72"/>
      <c r="V1345" s="72"/>
    </row>
    <row r="1346" spans="1:22" s="63" customFormat="1" ht="22.5" x14ac:dyDescent="0.25">
      <c r="A1346" s="84">
        <v>9.26</v>
      </c>
      <c r="B1346" s="81" t="s">
        <v>51</v>
      </c>
      <c r="C1346" s="80">
        <v>97.2</v>
      </c>
      <c r="D1346" s="131" t="s">
        <v>1249</v>
      </c>
      <c r="E1346" s="83" t="s">
        <v>1250</v>
      </c>
      <c r="F1346" s="81" t="s">
        <v>370</v>
      </c>
      <c r="G1346" s="87">
        <v>1.56</v>
      </c>
      <c r="H1346" s="85"/>
      <c r="I1346" s="86">
        <v>2058.83</v>
      </c>
      <c r="J1346" s="185">
        <f t="shared" si="140"/>
        <v>1502.68</v>
      </c>
      <c r="K1346" s="189">
        <f t="shared" si="139"/>
        <v>2344.1799999999998</v>
      </c>
      <c r="L1346" s="189"/>
      <c r="M1346" s="138"/>
      <c r="N1346" s="138"/>
      <c r="O1346" s="138"/>
      <c r="S1346" s="72"/>
      <c r="T1346" s="72"/>
      <c r="U1346" s="72"/>
      <c r="V1346" s="72"/>
    </row>
    <row r="1347" spans="1:22" s="63" customFormat="1" ht="22.5" x14ac:dyDescent="0.25">
      <c r="A1347" s="84">
        <v>9.2609999999999992</v>
      </c>
      <c r="B1347" s="81" t="s">
        <v>51</v>
      </c>
      <c r="C1347" s="80">
        <v>97.3</v>
      </c>
      <c r="D1347" s="131" t="s">
        <v>1092</v>
      </c>
      <c r="E1347" s="83" t="s">
        <v>1093</v>
      </c>
      <c r="F1347" s="81" t="s">
        <v>370</v>
      </c>
      <c r="G1347" s="87">
        <v>4.55</v>
      </c>
      <c r="H1347" s="85"/>
      <c r="I1347" s="86">
        <v>5957.15</v>
      </c>
      <c r="J1347" s="185">
        <f t="shared" si="140"/>
        <v>1490.73</v>
      </c>
      <c r="K1347" s="189">
        <f t="shared" si="139"/>
        <v>6782.82</v>
      </c>
      <c r="L1347" s="189"/>
      <c r="M1347" s="138"/>
      <c r="N1347" s="138"/>
      <c r="O1347" s="138"/>
      <c r="S1347" s="72"/>
      <c r="T1347" s="72"/>
      <c r="U1347" s="72"/>
      <c r="V1347" s="72"/>
    </row>
    <row r="1348" spans="1:22" s="63" customFormat="1" ht="33.75" x14ac:dyDescent="0.25">
      <c r="A1348" s="84">
        <v>9.2620000000000005</v>
      </c>
      <c r="B1348" s="81" t="s">
        <v>51</v>
      </c>
      <c r="C1348" s="80">
        <v>97.4</v>
      </c>
      <c r="D1348" s="131" t="s">
        <v>1108</v>
      </c>
      <c r="E1348" s="83" t="s">
        <v>3611</v>
      </c>
      <c r="F1348" s="81" t="s">
        <v>370</v>
      </c>
      <c r="G1348" s="80">
        <v>8.4</v>
      </c>
      <c r="H1348" s="85"/>
      <c r="I1348" s="86">
        <v>10614.8</v>
      </c>
      <c r="J1348" s="185">
        <f t="shared" si="140"/>
        <v>1438.81</v>
      </c>
      <c r="K1348" s="189">
        <f t="shared" si="139"/>
        <v>12086</v>
      </c>
      <c r="L1348" s="189"/>
      <c r="M1348" s="138"/>
      <c r="N1348" s="138"/>
      <c r="O1348" s="138"/>
      <c r="S1348" s="72"/>
      <c r="T1348" s="72"/>
      <c r="U1348" s="72"/>
      <c r="V1348" s="72"/>
    </row>
    <row r="1349" spans="1:22" s="63" customFormat="1" ht="22.5" x14ac:dyDescent="0.25">
      <c r="A1349" s="84">
        <v>9.2629999999999999</v>
      </c>
      <c r="B1349" s="81" t="s">
        <v>51</v>
      </c>
      <c r="C1349" s="82">
        <v>98</v>
      </c>
      <c r="D1349" s="131" t="s">
        <v>1173</v>
      </c>
      <c r="E1349" s="83" t="s">
        <v>1174</v>
      </c>
      <c r="F1349" s="81" t="s">
        <v>207</v>
      </c>
      <c r="G1349" s="88">
        <v>7.4399999999999994E-2</v>
      </c>
      <c r="H1349" s="85"/>
      <c r="I1349" s="86">
        <v>13953.24</v>
      </c>
      <c r="J1349" s="185">
        <f t="shared" si="140"/>
        <v>213537.08</v>
      </c>
      <c r="K1349" s="189">
        <f t="shared" si="139"/>
        <v>15887.16</v>
      </c>
      <c r="L1349" s="189"/>
      <c r="M1349" s="138"/>
      <c r="N1349" s="138"/>
      <c r="O1349" s="138"/>
      <c r="S1349" s="72"/>
      <c r="T1349" s="72"/>
      <c r="U1349" s="72"/>
      <c r="V1349" s="72"/>
    </row>
    <row r="1350" spans="1:22" s="63" customFormat="1" ht="22.5" x14ac:dyDescent="0.25">
      <c r="A1350" s="84">
        <v>9.2639999999999993</v>
      </c>
      <c r="B1350" s="81" t="s">
        <v>51</v>
      </c>
      <c r="C1350" s="80">
        <v>98.1</v>
      </c>
      <c r="D1350" s="131" t="s">
        <v>1175</v>
      </c>
      <c r="E1350" s="83" t="s">
        <v>1176</v>
      </c>
      <c r="F1350" s="81" t="s">
        <v>370</v>
      </c>
      <c r="G1350" s="87">
        <v>5.86</v>
      </c>
      <c r="H1350" s="85"/>
      <c r="I1350" s="86">
        <v>5010.63</v>
      </c>
      <c r="J1350" s="185">
        <f t="shared" si="140"/>
        <v>973.57</v>
      </c>
      <c r="K1350" s="189">
        <f t="shared" si="139"/>
        <v>5705.12</v>
      </c>
      <c r="L1350" s="189"/>
      <c r="M1350" s="138"/>
      <c r="N1350" s="138"/>
      <c r="O1350" s="138"/>
      <c r="S1350" s="72"/>
      <c r="T1350" s="72"/>
      <c r="U1350" s="72"/>
      <c r="V1350" s="72"/>
    </row>
    <row r="1351" spans="1:22" s="63" customFormat="1" ht="22.5" x14ac:dyDescent="0.25">
      <c r="A1351" s="84">
        <v>9.2650000000000006</v>
      </c>
      <c r="B1351" s="81" t="s">
        <v>51</v>
      </c>
      <c r="C1351" s="80">
        <v>98.2</v>
      </c>
      <c r="D1351" s="131" t="s">
        <v>1177</v>
      </c>
      <c r="E1351" s="83" t="s">
        <v>1178</v>
      </c>
      <c r="F1351" s="81" t="s">
        <v>370</v>
      </c>
      <c r="G1351" s="87">
        <v>0.98</v>
      </c>
      <c r="H1351" s="85"/>
      <c r="I1351" s="86">
        <v>2143.19</v>
      </c>
      <c r="J1351" s="185">
        <f t="shared" si="140"/>
        <v>2490.04</v>
      </c>
      <c r="K1351" s="189">
        <f t="shared" si="139"/>
        <v>2440.2399999999998</v>
      </c>
      <c r="L1351" s="189"/>
      <c r="M1351" s="138"/>
      <c r="N1351" s="138"/>
      <c r="O1351" s="138"/>
      <c r="S1351" s="72"/>
      <c r="T1351" s="72"/>
      <c r="U1351" s="72"/>
      <c r="V1351" s="72"/>
    </row>
    <row r="1352" spans="1:22" s="63" customFormat="1" ht="22.5" x14ac:dyDescent="0.25">
      <c r="A1352" s="84">
        <v>9.266</v>
      </c>
      <c r="B1352" s="81" t="s">
        <v>51</v>
      </c>
      <c r="C1352" s="80">
        <v>98.3</v>
      </c>
      <c r="D1352" s="131" t="s">
        <v>1179</v>
      </c>
      <c r="E1352" s="83" t="s">
        <v>1180</v>
      </c>
      <c r="F1352" s="81" t="s">
        <v>370</v>
      </c>
      <c r="G1352" s="80">
        <v>0.6</v>
      </c>
      <c r="H1352" s="85"/>
      <c r="I1352" s="86">
        <v>1238.1400000000001</v>
      </c>
      <c r="J1352" s="185">
        <f t="shared" si="140"/>
        <v>2349.58</v>
      </c>
      <c r="K1352" s="189">
        <f t="shared" si="139"/>
        <v>1409.75</v>
      </c>
      <c r="L1352" s="189"/>
      <c r="M1352" s="138"/>
      <c r="N1352" s="138"/>
      <c r="O1352" s="138"/>
      <c r="S1352" s="72"/>
      <c r="T1352" s="72"/>
      <c r="U1352" s="72"/>
      <c r="V1352" s="72"/>
    </row>
    <row r="1353" spans="1:22" s="63" customFormat="1" ht="33.75" x14ac:dyDescent="0.25">
      <c r="A1353" s="84">
        <v>9.2669999999999995</v>
      </c>
      <c r="B1353" s="81" t="s">
        <v>51</v>
      </c>
      <c r="C1353" s="80">
        <v>98.4</v>
      </c>
      <c r="D1353" s="131" t="s">
        <v>1116</v>
      </c>
      <c r="E1353" s="83" t="s">
        <v>1117</v>
      </c>
      <c r="F1353" s="81" t="s">
        <v>226</v>
      </c>
      <c r="G1353" s="84">
        <v>3.5000000000000003E-2</v>
      </c>
      <c r="H1353" s="85"/>
      <c r="I1353" s="86">
        <v>3939.97</v>
      </c>
      <c r="J1353" s="185">
        <f t="shared" si="140"/>
        <v>128172.85</v>
      </c>
      <c r="K1353" s="189">
        <f t="shared" si="139"/>
        <v>4486.05</v>
      </c>
      <c r="L1353" s="189"/>
      <c r="M1353" s="138"/>
      <c r="N1353" s="138"/>
      <c r="O1353" s="138"/>
      <c r="S1353" s="72"/>
      <c r="T1353" s="72"/>
      <c r="U1353" s="72"/>
      <c r="V1353" s="72"/>
    </row>
    <row r="1354" spans="1:22" s="63" customFormat="1" ht="22.5" x14ac:dyDescent="0.25">
      <c r="A1354" s="84">
        <v>9.2680000000000007</v>
      </c>
      <c r="B1354" s="81" t="s">
        <v>51</v>
      </c>
      <c r="C1354" s="82">
        <v>99</v>
      </c>
      <c r="D1354" s="131" t="s">
        <v>1118</v>
      </c>
      <c r="E1354" s="83" t="s">
        <v>1119</v>
      </c>
      <c r="F1354" s="81" t="s">
        <v>219</v>
      </c>
      <c r="G1354" s="82">
        <v>10</v>
      </c>
      <c r="H1354" s="85"/>
      <c r="I1354" s="86">
        <v>25012.99</v>
      </c>
      <c r="J1354" s="185">
        <f t="shared" si="140"/>
        <v>2847.98</v>
      </c>
      <c r="K1354" s="189">
        <f t="shared" si="139"/>
        <v>28479.8</v>
      </c>
      <c r="L1354" s="189"/>
      <c r="M1354" s="138"/>
      <c r="N1354" s="138"/>
      <c r="O1354" s="138"/>
      <c r="S1354" s="72"/>
      <c r="T1354" s="72"/>
      <c r="U1354" s="72"/>
      <c r="V1354" s="72"/>
    </row>
    <row r="1355" spans="1:22" s="63" customFormat="1" ht="22.5" x14ac:dyDescent="0.25">
      <c r="A1355" s="84">
        <v>9.2690000000000001</v>
      </c>
      <c r="B1355" s="81" t="s">
        <v>51</v>
      </c>
      <c r="C1355" s="80">
        <v>99.1</v>
      </c>
      <c r="D1355" s="131" t="s">
        <v>1120</v>
      </c>
      <c r="E1355" s="83" t="s">
        <v>1121</v>
      </c>
      <c r="F1355" s="81" t="s">
        <v>219</v>
      </c>
      <c r="G1355" s="82">
        <v>10</v>
      </c>
      <c r="H1355" s="85"/>
      <c r="I1355" s="86">
        <v>11303.35</v>
      </c>
      <c r="J1355" s="185">
        <f t="shared" si="140"/>
        <v>1287</v>
      </c>
      <c r="K1355" s="189">
        <f t="shared" si="139"/>
        <v>12870</v>
      </c>
      <c r="L1355" s="189"/>
      <c r="M1355" s="138"/>
      <c r="N1355" s="138"/>
      <c r="O1355" s="138"/>
      <c r="S1355" s="72"/>
      <c r="T1355" s="72"/>
      <c r="U1355" s="72"/>
      <c r="V1355" s="72"/>
    </row>
    <row r="1356" spans="1:22" s="63" customFormat="1" ht="15" x14ac:dyDescent="0.25">
      <c r="A1356" s="84">
        <v>9.27</v>
      </c>
      <c r="B1356" s="81" t="s">
        <v>51</v>
      </c>
      <c r="C1356" s="82">
        <v>100</v>
      </c>
      <c r="D1356" s="131" t="s">
        <v>1124</v>
      </c>
      <c r="E1356" s="83" t="s">
        <v>1125</v>
      </c>
      <c r="F1356" s="81" t="s">
        <v>219</v>
      </c>
      <c r="G1356" s="82">
        <v>10</v>
      </c>
      <c r="H1356" s="85"/>
      <c r="I1356" s="86">
        <v>80092.710000000006</v>
      </c>
      <c r="J1356" s="185">
        <f t="shared" si="140"/>
        <v>9119.36</v>
      </c>
      <c r="K1356" s="189">
        <f t="shared" si="139"/>
        <v>91193.600000000006</v>
      </c>
      <c r="L1356" s="189"/>
      <c r="M1356" s="138"/>
      <c r="N1356" s="138"/>
      <c r="O1356" s="138"/>
      <c r="S1356" s="72"/>
      <c r="T1356" s="72"/>
      <c r="U1356" s="72"/>
      <c r="V1356" s="72"/>
    </row>
    <row r="1357" spans="1:22" s="63" customFormat="1" ht="22.5" x14ac:dyDescent="0.25">
      <c r="A1357" s="84">
        <v>9.2710000000000008</v>
      </c>
      <c r="B1357" s="81" t="s">
        <v>51</v>
      </c>
      <c r="C1357" s="80">
        <v>100.1</v>
      </c>
      <c r="D1357" s="131" t="s">
        <v>1071</v>
      </c>
      <c r="E1357" s="83" t="s">
        <v>1072</v>
      </c>
      <c r="F1357" s="81" t="s">
        <v>226</v>
      </c>
      <c r="G1357" s="88">
        <v>1.54E-2</v>
      </c>
      <c r="H1357" s="85"/>
      <c r="I1357" s="86">
        <v>2054.0300000000002</v>
      </c>
      <c r="J1357" s="185">
        <f t="shared" si="140"/>
        <v>151864.84</v>
      </c>
      <c r="K1357" s="189">
        <f t="shared" si="139"/>
        <v>2338.7199999999998</v>
      </c>
      <c r="L1357" s="189"/>
      <c r="M1357" s="138"/>
      <c r="N1357" s="138"/>
      <c r="O1357" s="138"/>
      <c r="S1357" s="72"/>
      <c r="T1357" s="72"/>
      <c r="U1357" s="72"/>
      <c r="V1357" s="72"/>
    </row>
    <row r="1358" spans="1:22" s="63" customFormat="1" ht="22.5" x14ac:dyDescent="0.25">
      <c r="A1358" s="84">
        <v>9.2720000000000002</v>
      </c>
      <c r="B1358" s="81" t="s">
        <v>51</v>
      </c>
      <c r="C1358" s="80">
        <v>100.2</v>
      </c>
      <c r="D1358" s="131" t="s">
        <v>1183</v>
      </c>
      <c r="E1358" s="83" t="s">
        <v>3579</v>
      </c>
      <c r="F1358" s="81" t="s">
        <v>219</v>
      </c>
      <c r="G1358" s="82">
        <v>6</v>
      </c>
      <c r="H1358" s="85"/>
      <c r="I1358" s="86">
        <v>10020.01</v>
      </c>
      <c r="J1358" s="185">
        <f t="shared" si="140"/>
        <v>1901.46</v>
      </c>
      <c r="K1358" s="189">
        <f t="shared" si="139"/>
        <v>11408.76</v>
      </c>
      <c r="L1358" s="189"/>
      <c r="M1358" s="138"/>
      <c r="N1358" s="138"/>
      <c r="O1358" s="138"/>
      <c r="S1358" s="72"/>
      <c r="T1358" s="72"/>
      <c r="U1358" s="72"/>
      <c r="V1358" s="72"/>
    </row>
    <row r="1359" spans="1:22" s="63" customFormat="1" ht="22.5" x14ac:dyDescent="0.25">
      <c r="A1359" s="84">
        <v>9.2729999999999997</v>
      </c>
      <c r="B1359" s="81" t="s">
        <v>51</v>
      </c>
      <c r="C1359" s="80">
        <v>100.3</v>
      </c>
      <c r="D1359" s="131" t="s">
        <v>1184</v>
      </c>
      <c r="E1359" s="83" t="s">
        <v>3580</v>
      </c>
      <c r="F1359" s="81" t="s">
        <v>219</v>
      </c>
      <c r="G1359" s="82">
        <v>4</v>
      </c>
      <c r="H1359" s="85"/>
      <c r="I1359" s="86">
        <v>7147.96</v>
      </c>
      <c r="J1359" s="185">
        <f t="shared" si="140"/>
        <v>2034.67</v>
      </c>
      <c r="K1359" s="189">
        <f t="shared" si="139"/>
        <v>8138.68</v>
      </c>
      <c r="L1359" s="189"/>
      <c r="M1359" s="138"/>
      <c r="N1359" s="138"/>
      <c r="O1359" s="138"/>
      <c r="S1359" s="72"/>
      <c r="T1359" s="72"/>
      <c r="U1359" s="72"/>
      <c r="V1359" s="72"/>
    </row>
    <row r="1360" spans="1:22" s="63" customFormat="1" ht="15" x14ac:dyDescent="0.25">
      <c r="A1360" s="84">
        <v>9.2739999999999991</v>
      </c>
      <c r="B1360" s="81" t="s">
        <v>51</v>
      </c>
      <c r="C1360" s="82">
        <v>101</v>
      </c>
      <c r="D1360" s="131" t="s">
        <v>1127</v>
      </c>
      <c r="E1360" s="83" t="s">
        <v>1128</v>
      </c>
      <c r="F1360" s="81" t="s">
        <v>219</v>
      </c>
      <c r="G1360" s="82">
        <v>2</v>
      </c>
      <c r="H1360" s="85"/>
      <c r="I1360" s="86">
        <v>3328.21</v>
      </c>
      <c r="J1360" s="185">
        <f t="shared" si="140"/>
        <v>1894.75</v>
      </c>
      <c r="K1360" s="189">
        <f t="shared" si="139"/>
        <v>3789.5</v>
      </c>
      <c r="L1360" s="189"/>
      <c r="M1360" s="138"/>
      <c r="N1360" s="138"/>
      <c r="O1360" s="138"/>
      <c r="S1360" s="72"/>
      <c r="T1360" s="72"/>
      <c r="U1360" s="72"/>
      <c r="V1360" s="72"/>
    </row>
    <row r="1361" spans="1:22" s="63" customFormat="1" ht="22.5" x14ac:dyDescent="0.25">
      <c r="A1361" s="84">
        <v>9.2750000000000004</v>
      </c>
      <c r="B1361" s="81" t="s">
        <v>51</v>
      </c>
      <c r="C1361" s="80">
        <v>101.1</v>
      </c>
      <c r="D1361" s="131" t="s">
        <v>1251</v>
      </c>
      <c r="E1361" s="83" t="s">
        <v>1252</v>
      </c>
      <c r="F1361" s="81" t="s">
        <v>219</v>
      </c>
      <c r="G1361" s="82">
        <v>2</v>
      </c>
      <c r="H1361" s="85"/>
      <c r="I1361" s="86">
        <v>1677.08</v>
      </c>
      <c r="J1361" s="185">
        <f t="shared" si="140"/>
        <v>954.76</v>
      </c>
      <c r="K1361" s="189">
        <f t="shared" si="139"/>
        <v>1909.52</v>
      </c>
      <c r="L1361" s="189"/>
      <c r="M1361" s="138"/>
      <c r="N1361" s="138"/>
      <c r="O1361" s="138"/>
      <c r="S1361" s="72"/>
      <c r="T1361" s="72"/>
      <c r="U1361" s="72"/>
      <c r="V1361" s="72"/>
    </row>
    <row r="1362" spans="1:22" s="63" customFormat="1" ht="22.5" x14ac:dyDescent="0.25">
      <c r="A1362" s="84">
        <v>9.2759999999999998</v>
      </c>
      <c r="B1362" s="81" t="s">
        <v>51</v>
      </c>
      <c r="C1362" s="82">
        <v>102</v>
      </c>
      <c r="D1362" s="131" t="s">
        <v>1205</v>
      </c>
      <c r="E1362" s="83" t="s">
        <v>1206</v>
      </c>
      <c r="F1362" s="81" t="s">
        <v>219</v>
      </c>
      <c r="G1362" s="82">
        <v>2</v>
      </c>
      <c r="H1362" s="85"/>
      <c r="I1362" s="86">
        <v>3047.74</v>
      </c>
      <c r="J1362" s="185">
        <f t="shared" si="140"/>
        <v>1735.08</v>
      </c>
      <c r="K1362" s="189">
        <f t="shared" si="139"/>
        <v>3470.16</v>
      </c>
      <c r="L1362" s="189"/>
      <c r="M1362" s="138"/>
      <c r="N1362" s="138"/>
      <c r="O1362" s="138"/>
      <c r="S1362" s="72"/>
      <c r="T1362" s="72"/>
      <c r="U1362" s="72"/>
      <c r="V1362" s="72"/>
    </row>
    <row r="1363" spans="1:22" s="63" customFormat="1" ht="22.5" x14ac:dyDescent="0.25">
      <c r="A1363" s="84">
        <v>9.2769999999999992</v>
      </c>
      <c r="B1363" s="81" t="s">
        <v>51</v>
      </c>
      <c r="C1363" s="80">
        <v>102.1</v>
      </c>
      <c r="D1363" s="131" t="s">
        <v>1133</v>
      </c>
      <c r="E1363" s="83" t="s">
        <v>1134</v>
      </c>
      <c r="F1363" s="81" t="s">
        <v>219</v>
      </c>
      <c r="G1363" s="82">
        <v>2</v>
      </c>
      <c r="H1363" s="85"/>
      <c r="I1363" s="86">
        <v>7567.89</v>
      </c>
      <c r="J1363" s="185">
        <f t="shared" si="140"/>
        <v>4308.3999999999996</v>
      </c>
      <c r="K1363" s="189">
        <f t="shared" si="139"/>
        <v>8616.7999999999993</v>
      </c>
      <c r="L1363" s="189"/>
      <c r="M1363" s="138"/>
      <c r="N1363" s="138"/>
      <c r="O1363" s="138"/>
      <c r="S1363" s="72"/>
      <c r="T1363" s="72"/>
      <c r="U1363" s="72"/>
      <c r="V1363" s="72"/>
    </row>
    <row r="1364" spans="1:22" s="63" customFormat="1" ht="22.5" x14ac:dyDescent="0.25">
      <c r="A1364" s="84">
        <v>9.2780000000000005</v>
      </c>
      <c r="B1364" s="81" t="s">
        <v>51</v>
      </c>
      <c r="C1364" s="82">
        <v>103</v>
      </c>
      <c r="D1364" s="131" t="s">
        <v>1143</v>
      </c>
      <c r="E1364" s="83" t="s">
        <v>1144</v>
      </c>
      <c r="F1364" s="81" t="s">
        <v>219</v>
      </c>
      <c r="G1364" s="82">
        <v>4</v>
      </c>
      <c r="H1364" s="85"/>
      <c r="I1364" s="86">
        <v>6097.14</v>
      </c>
      <c r="J1364" s="185">
        <f t="shared" si="140"/>
        <v>1735.55</v>
      </c>
      <c r="K1364" s="189">
        <f t="shared" si="139"/>
        <v>6942.2</v>
      </c>
      <c r="L1364" s="189"/>
      <c r="M1364" s="138"/>
      <c r="N1364" s="138"/>
      <c r="O1364" s="138"/>
      <c r="S1364" s="72"/>
      <c r="T1364" s="72"/>
      <c r="U1364" s="72"/>
      <c r="V1364" s="72"/>
    </row>
    <row r="1365" spans="1:22" s="63" customFormat="1" ht="22.5" x14ac:dyDescent="0.25">
      <c r="A1365" s="108">
        <v>9.2789999999999999</v>
      </c>
      <c r="B1365" s="102" t="s">
        <v>51</v>
      </c>
      <c r="C1365" s="103">
        <v>103.1</v>
      </c>
      <c r="D1365" s="167" t="s">
        <v>1253</v>
      </c>
      <c r="E1365" s="104" t="s">
        <v>1254</v>
      </c>
      <c r="F1365" s="102" t="s">
        <v>219</v>
      </c>
      <c r="G1365" s="105">
        <v>3</v>
      </c>
      <c r="H1365" s="106"/>
      <c r="I1365" s="107">
        <v>37484.550000000003</v>
      </c>
      <c r="J1365" s="192">
        <f>ROUND($I1365/$G1365*$N$12,2)</f>
        <v>13975.49</v>
      </c>
      <c r="K1365" s="193">
        <f t="shared" si="139"/>
        <v>41926.47</v>
      </c>
      <c r="L1365" s="193"/>
      <c r="M1365" s="138"/>
      <c r="N1365" s="138"/>
      <c r="O1365" s="138"/>
      <c r="S1365" s="72"/>
      <c r="T1365" s="72"/>
      <c r="U1365" s="72"/>
      <c r="V1365" s="72"/>
    </row>
    <row r="1366" spans="1:22" s="63" customFormat="1" ht="22.5" x14ac:dyDescent="0.25">
      <c r="A1366" s="108">
        <v>9.2799999999999994</v>
      </c>
      <c r="B1366" s="102" t="s">
        <v>51</v>
      </c>
      <c r="C1366" s="103">
        <v>103.2</v>
      </c>
      <c r="D1366" s="167" t="s">
        <v>1208</v>
      </c>
      <c r="E1366" s="104" t="s">
        <v>1209</v>
      </c>
      <c r="F1366" s="102" t="s">
        <v>219</v>
      </c>
      <c r="G1366" s="105">
        <v>1</v>
      </c>
      <c r="H1366" s="106"/>
      <c r="I1366" s="107">
        <v>12494.85</v>
      </c>
      <c r="J1366" s="192">
        <f>ROUND($I1366/$G1366*$N$12,2)</f>
        <v>13975.49</v>
      </c>
      <c r="K1366" s="193">
        <f t="shared" si="139"/>
        <v>13975.49</v>
      </c>
      <c r="L1366" s="193"/>
      <c r="M1366" s="138"/>
      <c r="N1366" s="138"/>
      <c r="O1366" s="138"/>
      <c r="S1366" s="72"/>
      <c r="T1366" s="72"/>
      <c r="U1366" s="72"/>
      <c r="V1366" s="72"/>
    </row>
    <row r="1367" spans="1:22" s="63" customFormat="1" ht="22.5" x14ac:dyDescent="0.25">
      <c r="A1367" s="84">
        <v>9.2810000000000006</v>
      </c>
      <c r="B1367" s="81" t="s">
        <v>51</v>
      </c>
      <c r="C1367" s="82">
        <v>104</v>
      </c>
      <c r="D1367" s="131" t="s">
        <v>1186</v>
      </c>
      <c r="E1367" s="83" t="s">
        <v>1187</v>
      </c>
      <c r="F1367" s="81" t="s">
        <v>219</v>
      </c>
      <c r="G1367" s="82">
        <v>3</v>
      </c>
      <c r="H1367" s="85"/>
      <c r="I1367" s="86">
        <v>14716.66</v>
      </c>
      <c r="J1367" s="185">
        <f t="shared" ref="J1367:J1373" si="141">ROUND($I1367/$G1367*$N$11,2)</f>
        <v>5585.46</v>
      </c>
      <c r="K1367" s="189">
        <f t="shared" si="139"/>
        <v>16756.38</v>
      </c>
      <c r="L1367" s="189"/>
      <c r="M1367" s="138"/>
      <c r="N1367" s="138"/>
      <c r="O1367" s="138"/>
      <c r="S1367" s="72"/>
      <c r="T1367" s="72"/>
      <c r="U1367" s="72"/>
      <c r="V1367" s="72"/>
    </row>
    <row r="1368" spans="1:22" s="63" customFormat="1" ht="22.5" x14ac:dyDescent="0.25">
      <c r="A1368" s="84">
        <v>9.282</v>
      </c>
      <c r="B1368" s="81" t="s">
        <v>51</v>
      </c>
      <c r="C1368" s="80">
        <v>104.1</v>
      </c>
      <c r="D1368" s="131" t="s">
        <v>1137</v>
      </c>
      <c r="E1368" s="83" t="s">
        <v>1138</v>
      </c>
      <c r="F1368" s="81" t="s">
        <v>334</v>
      </c>
      <c r="G1368" s="80">
        <v>27.9</v>
      </c>
      <c r="H1368" s="85"/>
      <c r="I1368" s="86">
        <v>2980.48</v>
      </c>
      <c r="J1368" s="185">
        <f t="shared" si="141"/>
        <v>121.63</v>
      </c>
      <c r="K1368" s="189">
        <f t="shared" si="139"/>
        <v>3393.48</v>
      </c>
      <c r="L1368" s="189"/>
      <c r="M1368" s="138"/>
      <c r="N1368" s="138"/>
      <c r="O1368" s="138"/>
      <c r="S1368" s="72"/>
      <c r="T1368" s="72"/>
      <c r="U1368" s="72"/>
      <c r="V1368" s="72"/>
    </row>
    <row r="1369" spans="1:22" s="63" customFormat="1" ht="22.5" x14ac:dyDescent="0.25">
      <c r="A1369" s="84">
        <v>9.2829999999999995</v>
      </c>
      <c r="B1369" s="81" t="s">
        <v>51</v>
      </c>
      <c r="C1369" s="80">
        <v>104.2</v>
      </c>
      <c r="D1369" s="131" t="s">
        <v>1139</v>
      </c>
      <c r="E1369" s="83" t="s">
        <v>1140</v>
      </c>
      <c r="F1369" s="81" t="s">
        <v>566</v>
      </c>
      <c r="G1369" s="80">
        <v>0.6</v>
      </c>
      <c r="H1369" s="85"/>
      <c r="I1369" s="86">
        <v>1258.47</v>
      </c>
      <c r="J1369" s="185">
        <f t="shared" si="141"/>
        <v>2388.16</v>
      </c>
      <c r="K1369" s="189">
        <f t="shared" si="139"/>
        <v>1432.9</v>
      </c>
      <c r="L1369" s="189"/>
      <c r="M1369" s="138"/>
      <c r="N1369" s="138"/>
      <c r="O1369" s="138"/>
      <c r="S1369" s="72"/>
      <c r="T1369" s="72"/>
      <c r="U1369" s="72"/>
      <c r="V1369" s="72"/>
    </row>
    <row r="1370" spans="1:22" s="63" customFormat="1" ht="22.5" x14ac:dyDescent="0.25">
      <c r="A1370" s="84">
        <v>9.2840000000000007</v>
      </c>
      <c r="B1370" s="81" t="s">
        <v>51</v>
      </c>
      <c r="C1370" s="80">
        <v>104.3</v>
      </c>
      <c r="D1370" s="131" t="s">
        <v>1255</v>
      </c>
      <c r="E1370" s="83" t="s">
        <v>3612</v>
      </c>
      <c r="F1370" s="81" t="s">
        <v>219</v>
      </c>
      <c r="G1370" s="82">
        <v>2</v>
      </c>
      <c r="H1370" s="85"/>
      <c r="I1370" s="86">
        <v>23224.57</v>
      </c>
      <c r="J1370" s="185">
        <f t="shared" si="141"/>
        <v>13221.75</v>
      </c>
      <c r="K1370" s="189">
        <f t="shared" si="139"/>
        <v>26443.5</v>
      </c>
      <c r="L1370" s="189"/>
      <c r="M1370" s="138"/>
      <c r="N1370" s="138"/>
      <c r="O1370" s="138"/>
      <c r="S1370" s="72"/>
      <c r="T1370" s="72"/>
      <c r="U1370" s="72"/>
      <c r="V1370" s="72"/>
    </row>
    <row r="1371" spans="1:22" s="63" customFormat="1" ht="22.5" x14ac:dyDescent="0.25">
      <c r="A1371" s="84">
        <v>9.2850000000000001</v>
      </c>
      <c r="B1371" s="81" t="s">
        <v>51</v>
      </c>
      <c r="C1371" s="80">
        <v>104.4</v>
      </c>
      <c r="D1371" s="131" t="s">
        <v>1256</v>
      </c>
      <c r="E1371" s="83" t="s">
        <v>3584</v>
      </c>
      <c r="F1371" s="81" t="s">
        <v>219</v>
      </c>
      <c r="G1371" s="82">
        <v>1</v>
      </c>
      <c r="H1371" s="85"/>
      <c r="I1371" s="86">
        <v>13151.46</v>
      </c>
      <c r="J1371" s="185">
        <f t="shared" si="141"/>
        <v>14974.25</v>
      </c>
      <c r="K1371" s="189">
        <f t="shared" si="139"/>
        <v>14974.25</v>
      </c>
      <c r="L1371" s="189"/>
      <c r="M1371" s="138"/>
      <c r="N1371" s="138"/>
      <c r="O1371" s="138"/>
      <c r="S1371" s="72"/>
      <c r="T1371" s="72"/>
      <c r="U1371" s="72"/>
      <c r="V1371" s="72"/>
    </row>
    <row r="1372" spans="1:22" s="63" customFormat="1" ht="22.5" x14ac:dyDescent="0.25">
      <c r="A1372" s="84">
        <v>9.2859999999999996</v>
      </c>
      <c r="B1372" s="81" t="s">
        <v>51</v>
      </c>
      <c r="C1372" s="82">
        <v>105</v>
      </c>
      <c r="D1372" s="131" t="s">
        <v>1151</v>
      </c>
      <c r="E1372" s="83" t="s">
        <v>1152</v>
      </c>
      <c r="F1372" s="81" t="s">
        <v>205</v>
      </c>
      <c r="G1372" s="84">
        <v>0.28799999999999998</v>
      </c>
      <c r="H1372" s="85"/>
      <c r="I1372" s="86">
        <v>7374.39</v>
      </c>
      <c r="J1372" s="185">
        <f t="shared" si="141"/>
        <v>29154.45</v>
      </c>
      <c r="K1372" s="189">
        <f t="shared" si="139"/>
        <v>8396.48</v>
      </c>
      <c r="L1372" s="189"/>
      <c r="M1372" s="138"/>
      <c r="N1372" s="138"/>
      <c r="O1372" s="138"/>
      <c r="S1372" s="72"/>
      <c r="T1372" s="72"/>
      <c r="U1372" s="72"/>
      <c r="V1372" s="72"/>
    </row>
    <row r="1373" spans="1:22" s="63" customFormat="1" ht="22.5" x14ac:dyDescent="0.25">
      <c r="A1373" s="84">
        <v>9.2870000000000008</v>
      </c>
      <c r="B1373" s="81" t="s">
        <v>51</v>
      </c>
      <c r="C1373" s="80">
        <v>105.1</v>
      </c>
      <c r="D1373" s="131" t="s">
        <v>1153</v>
      </c>
      <c r="E1373" s="83" t="s">
        <v>3573</v>
      </c>
      <c r="F1373" s="81" t="s">
        <v>370</v>
      </c>
      <c r="G1373" s="87">
        <v>10.08</v>
      </c>
      <c r="H1373" s="85"/>
      <c r="I1373" s="86">
        <v>3570.38</v>
      </c>
      <c r="J1373" s="185">
        <f t="shared" si="141"/>
        <v>403.3</v>
      </c>
      <c r="K1373" s="189">
        <f t="shared" si="139"/>
        <v>4065.26</v>
      </c>
      <c r="L1373" s="189"/>
      <c r="M1373" s="138"/>
      <c r="N1373" s="138"/>
      <c r="O1373" s="138"/>
      <c r="S1373" s="72"/>
      <c r="T1373" s="72"/>
      <c r="U1373" s="72"/>
      <c r="V1373" s="72"/>
    </row>
    <row r="1374" spans="1:22" s="128" customFormat="1" ht="12.75" x14ac:dyDescent="0.25">
      <c r="A1374" s="242"/>
      <c r="B1374" s="125"/>
      <c r="C1374" s="236"/>
      <c r="D1374" s="77"/>
      <c r="E1374" s="126" t="s">
        <v>3298</v>
      </c>
      <c r="F1374" s="125"/>
      <c r="G1374" s="237"/>
      <c r="H1374" s="127"/>
      <c r="I1374" s="78"/>
      <c r="J1374" s="238"/>
      <c r="K1374" s="239"/>
      <c r="L1374" s="239"/>
      <c r="M1374" s="79"/>
      <c r="N1374" s="79"/>
      <c r="O1374" s="79"/>
      <c r="S1374" s="129"/>
      <c r="T1374" s="129"/>
      <c r="U1374" s="129"/>
      <c r="V1374" s="129"/>
    </row>
    <row r="1375" spans="1:22" s="63" customFormat="1" ht="15" x14ac:dyDescent="0.25">
      <c r="A1375" s="84">
        <v>9.2880000000000003</v>
      </c>
      <c r="B1375" s="81" t="s">
        <v>51</v>
      </c>
      <c r="C1375" s="82">
        <v>106</v>
      </c>
      <c r="D1375" s="131" t="s">
        <v>1220</v>
      </c>
      <c r="E1375" s="83" t="s">
        <v>1221</v>
      </c>
      <c r="F1375" s="81" t="s">
        <v>219</v>
      </c>
      <c r="G1375" s="82">
        <v>1</v>
      </c>
      <c r="H1375" s="85"/>
      <c r="I1375" s="86">
        <v>8223.4699999999993</v>
      </c>
      <c r="J1375" s="185">
        <f>ROUND($I1375/$G1375*$N$11,2)</f>
        <v>9363.24</v>
      </c>
      <c r="K1375" s="189">
        <f t="shared" ref="K1375:K1389" si="142">ROUND(G1375*J1375,2)</f>
        <v>9363.24</v>
      </c>
      <c r="L1375" s="189"/>
      <c r="M1375" s="138"/>
      <c r="N1375" s="138"/>
      <c r="O1375" s="138"/>
      <c r="S1375" s="72"/>
      <c r="T1375" s="72"/>
      <c r="U1375" s="72"/>
      <c r="V1375" s="72"/>
    </row>
    <row r="1376" spans="1:22" s="63" customFormat="1" ht="22.5" x14ac:dyDescent="0.25">
      <c r="A1376" s="84">
        <v>9.2889999999999997</v>
      </c>
      <c r="B1376" s="81" t="s">
        <v>51</v>
      </c>
      <c r="C1376" s="80">
        <v>106.1</v>
      </c>
      <c r="D1376" s="131" t="s">
        <v>1071</v>
      </c>
      <c r="E1376" s="83" t="s">
        <v>1072</v>
      </c>
      <c r="F1376" s="81" t="s">
        <v>226</v>
      </c>
      <c r="G1376" s="88">
        <v>2.8E-3</v>
      </c>
      <c r="H1376" s="85"/>
      <c r="I1376" s="86">
        <v>373.49</v>
      </c>
      <c r="J1376" s="185">
        <f>ROUND($I1376/$G1376*$N$11,2)</f>
        <v>151877.04</v>
      </c>
      <c r="K1376" s="189">
        <f t="shared" si="142"/>
        <v>425.26</v>
      </c>
      <c r="L1376" s="189"/>
      <c r="M1376" s="138"/>
      <c r="N1376" s="138"/>
      <c r="O1376" s="138"/>
      <c r="S1376" s="72"/>
      <c r="T1376" s="72"/>
      <c r="U1376" s="72"/>
      <c r="V1376" s="72"/>
    </row>
    <row r="1377" spans="1:22" s="63" customFormat="1" ht="45" x14ac:dyDescent="0.25">
      <c r="A1377" s="84">
        <v>9.2899999999999991</v>
      </c>
      <c r="B1377" s="81" t="s">
        <v>51</v>
      </c>
      <c r="C1377" s="82">
        <v>107</v>
      </c>
      <c r="D1377" s="131" t="s">
        <v>1222</v>
      </c>
      <c r="E1377" s="83" t="s">
        <v>1223</v>
      </c>
      <c r="F1377" s="81" t="s">
        <v>219</v>
      </c>
      <c r="G1377" s="82">
        <v>1</v>
      </c>
      <c r="H1377" s="85"/>
      <c r="I1377" s="86">
        <v>1435.79</v>
      </c>
      <c r="J1377" s="185">
        <f>ROUND($I1377/$G1377*$N$11,2)</f>
        <v>1634.79</v>
      </c>
      <c r="K1377" s="189">
        <f t="shared" si="142"/>
        <v>1634.79</v>
      </c>
      <c r="L1377" s="189"/>
      <c r="M1377" s="138"/>
      <c r="N1377" s="138"/>
      <c r="O1377" s="138"/>
      <c r="S1377" s="72"/>
      <c r="T1377" s="72"/>
      <c r="U1377" s="72"/>
      <c r="V1377" s="72"/>
    </row>
    <row r="1378" spans="1:22" s="63" customFormat="1" ht="22.5" x14ac:dyDescent="0.25">
      <c r="A1378" s="108">
        <v>9.2910000000000004</v>
      </c>
      <c r="B1378" s="102" t="s">
        <v>51</v>
      </c>
      <c r="C1378" s="103">
        <v>107.1</v>
      </c>
      <c r="D1378" s="167" t="s">
        <v>1239</v>
      </c>
      <c r="E1378" s="104" t="s">
        <v>3605</v>
      </c>
      <c r="F1378" s="102" t="s">
        <v>219</v>
      </c>
      <c r="G1378" s="105">
        <v>1</v>
      </c>
      <c r="H1378" s="106"/>
      <c r="I1378" s="107">
        <v>30729.7</v>
      </c>
      <c r="J1378" s="192">
        <f>ROUND($I1378/$G1378*$N$12,2)</f>
        <v>34371.17</v>
      </c>
      <c r="K1378" s="193">
        <f t="shared" si="142"/>
        <v>34371.17</v>
      </c>
      <c r="L1378" s="193"/>
      <c r="M1378" s="138"/>
      <c r="N1378" s="138"/>
      <c r="O1378" s="138"/>
      <c r="S1378" s="110"/>
      <c r="T1378" s="72"/>
      <c r="U1378" s="72"/>
      <c r="V1378" s="72"/>
    </row>
    <row r="1379" spans="1:22" s="63" customFormat="1" ht="22.5" x14ac:dyDescent="0.25">
      <c r="A1379" s="84">
        <v>9.2919999999999998</v>
      </c>
      <c r="B1379" s="81" t="s">
        <v>51</v>
      </c>
      <c r="C1379" s="82">
        <v>108</v>
      </c>
      <c r="D1379" s="131" t="s">
        <v>1225</v>
      </c>
      <c r="E1379" s="83" t="s">
        <v>1226</v>
      </c>
      <c r="F1379" s="81" t="s">
        <v>566</v>
      </c>
      <c r="G1379" s="80">
        <v>0.1</v>
      </c>
      <c r="H1379" s="85"/>
      <c r="I1379" s="86">
        <v>6364.14</v>
      </c>
      <c r="J1379" s="185">
        <f>ROUND($I1379/$G1379*$N$11,2)</f>
        <v>72462.100000000006</v>
      </c>
      <c r="K1379" s="189">
        <f t="shared" si="142"/>
        <v>7246.21</v>
      </c>
      <c r="L1379" s="189"/>
      <c r="M1379" s="138"/>
      <c r="N1379" s="138"/>
      <c r="O1379" s="138"/>
      <c r="S1379" s="72"/>
      <c r="T1379" s="72"/>
      <c r="U1379" s="72"/>
      <c r="V1379" s="72"/>
    </row>
    <row r="1380" spans="1:22" s="63" customFormat="1" ht="15" x14ac:dyDescent="0.25">
      <c r="A1380" s="84">
        <v>9.2929999999999993</v>
      </c>
      <c r="B1380" s="81" t="s">
        <v>51</v>
      </c>
      <c r="C1380" s="80">
        <v>108.1</v>
      </c>
      <c r="D1380" s="131" t="s">
        <v>1240</v>
      </c>
      <c r="E1380" s="83" t="s">
        <v>3606</v>
      </c>
      <c r="F1380" s="81" t="s">
        <v>219</v>
      </c>
      <c r="G1380" s="82">
        <v>1</v>
      </c>
      <c r="H1380" s="85"/>
      <c r="I1380" s="86">
        <v>22317.3</v>
      </c>
      <c r="J1380" s="185">
        <f>ROUND($I1380/$G1380*$N$11,2)</f>
        <v>25410.48</v>
      </c>
      <c r="K1380" s="189">
        <f t="shared" si="142"/>
        <v>25410.48</v>
      </c>
      <c r="L1380" s="189"/>
      <c r="M1380" s="138"/>
      <c r="N1380" s="138"/>
      <c r="O1380" s="138"/>
      <c r="S1380" s="72"/>
      <c r="T1380" s="72"/>
      <c r="U1380" s="72"/>
      <c r="V1380" s="72"/>
    </row>
    <row r="1381" spans="1:22" s="63" customFormat="1" ht="22.5" x14ac:dyDescent="0.25">
      <c r="A1381" s="84">
        <v>9.2940000000000005</v>
      </c>
      <c r="B1381" s="81" t="s">
        <v>51</v>
      </c>
      <c r="C1381" s="82">
        <v>109</v>
      </c>
      <c r="D1381" s="131" t="s">
        <v>783</v>
      </c>
      <c r="E1381" s="83" t="s">
        <v>1078</v>
      </c>
      <c r="F1381" s="81" t="s">
        <v>219</v>
      </c>
      <c r="G1381" s="82">
        <v>1</v>
      </c>
      <c r="H1381" s="85"/>
      <c r="I1381" s="86">
        <v>3276.2</v>
      </c>
      <c r="J1381" s="185">
        <f>ROUND($I1381/$G1381*$N$11,2)</f>
        <v>3730.28</v>
      </c>
      <c r="K1381" s="189">
        <f t="shared" si="142"/>
        <v>3730.28</v>
      </c>
      <c r="L1381" s="189"/>
      <c r="M1381" s="138"/>
      <c r="N1381" s="138"/>
      <c r="O1381" s="138"/>
      <c r="S1381" s="72"/>
      <c r="T1381" s="72"/>
      <c r="U1381" s="72"/>
      <c r="V1381" s="72"/>
    </row>
    <row r="1382" spans="1:22" s="63" customFormat="1" ht="22.5" x14ac:dyDescent="0.25">
      <c r="A1382" s="108">
        <v>9.2949999999999999</v>
      </c>
      <c r="B1382" s="102" t="s">
        <v>51</v>
      </c>
      <c r="C1382" s="103">
        <v>109.1</v>
      </c>
      <c r="D1382" s="167" t="s">
        <v>1228</v>
      </c>
      <c r="E1382" s="104" t="s">
        <v>3602</v>
      </c>
      <c r="F1382" s="102" t="s">
        <v>219</v>
      </c>
      <c r="G1382" s="105">
        <v>1</v>
      </c>
      <c r="H1382" s="106"/>
      <c r="I1382" s="107">
        <v>21212.97</v>
      </c>
      <c r="J1382" s="192">
        <f>ROUND($I1382/$G1382*$N$12,2)</f>
        <v>23726.71</v>
      </c>
      <c r="K1382" s="193">
        <f t="shared" si="142"/>
        <v>23726.71</v>
      </c>
      <c r="L1382" s="193"/>
      <c r="M1382" s="138"/>
      <c r="N1382" s="138"/>
      <c r="O1382" s="138"/>
      <c r="S1382" s="110"/>
      <c r="T1382" s="72"/>
      <c r="U1382" s="72"/>
      <c r="V1382" s="72"/>
    </row>
    <row r="1383" spans="1:22" s="63" customFormat="1" ht="22.5" x14ac:dyDescent="0.25">
      <c r="A1383" s="84">
        <v>9.2959999999999994</v>
      </c>
      <c r="B1383" s="81" t="s">
        <v>51</v>
      </c>
      <c r="C1383" s="82">
        <v>110</v>
      </c>
      <c r="D1383" s="131" t="s">
        <v>1173</v>
      </c>
      <c r="E1383" s="83" t="s">
        <v>1174</v>
      </c>
      <c r="F1383" s="81" t="s">
        <v>207</v>
      </c>
      <c r="G1383" s="88">
        <v>3.3300000000000003E-2</v>
      </c>
      <c r="H1383" s="85"/>
      <c r="I1383" s="86">
        <v>6245.55</v>
      </c>
      <c r="J1383" s="185">
        <f t="shared" ref="J1383:J1389" si="143">ROUND($I1383/$G1383*$N$11,2)</f>
        <v>213549.05</v>
      </c>
      <c r="K1383" s="189">
        <f t="shared" si="142"/>
        <v>7111.18</v>
      </c>
      <c r="L1383" s="189"/>
      <c r="M1383" s="138"/>
      <c r="N1383" s="138"/>
      <c r="O1383" s="138"/>
      <c r="S1383" s="72"/>
      <c r="T1383" s="72"/>
      <c r="U1383" s="72"/>
      <c r="V1383" s="72"/>
    </row>
    <row r="1384" spans="1:22" s="63" customFormat="1" ht="22.5" x14ac:dyDescent="0.25">
      <c r="A1384" s="84">
        <v>9.2970000000000006</v>
      </c>
      <c r="B1384" s="81" t="s">
        <v>51</v>
      </c>
      <c r="C1384" s="80">
        <v>110.1</v>
      </c>
      <c r="D1384" s="131" t="s">
        <v>1175</v>
      </c>
      <c r="E1384" s="83" t="s">
        <v>1176</v>
      </c>
      <c r="F1384" s="81" t="s">
        <v>370</v>
      </c>
      <c r="G1384" s="87">
        <v>3.33</v>
      </c>
      <c r="H1384" s="85"/>
      <c r="I1384" s="86">
        <v>2847.37</v>
      </c>
      <c r="J1384" s="185">
        <f t="shared" si="143"/>
        <v>973.58</v>
      </c>
      <c r="K1384" s="189">
        <f t="shared" si="142"/>
        <v>3242.02</v>
      </c>
      <c r="L1384" s="189"/>
      <c r="M1384" s="138"/>
      <c r="N1384" s="138"/>
      <c r="O1384" s="138"/>
      <c r="S1384" s="72"/>
      <c r="T1384" s="72"/>
      <c r="U1384" s="72"/>
      <c r="V1384" s="72"/>
    </row>
    <row r="1385" spans="1:22" s="63" customFormat="1" ht="33.75" x14ac:dyDescent="0.25">
      <c r="A1385" s="84">
        <v>9.298</v>
      </c>
      <c r="B1385" s="81" t="s">
        <v>51</v>
      </c>
      <c r="C1385" s="80">
        <v>110.2</v>
      </c>
      <c r="D1385" s="131" t="s">
        <v>1116</v>
      </c>
      <c r="E1385" s="83" t="s">
        <v>1117</v>
      </c>
      <c r="F1385" s="81" t="s">
        <v>226</v>
      </c>
      <c r="G1385" s="84">
        <v>7.0000000000000001E-3</v>
      </c>
      <c r="H1385" s="85"/>
      <c r="I1385" s="86">
        <v>788.01</v>
      </c>
      <c r="J1385" s="185">
        <f t="shared" si="143"/>
        <v>128175.46</v>
      </c>
      <c r="K1385" s="189">
        <f t="shared" si="142"/>
        <v>897.23</v>
      </c>
      <c r="L1385" s="189"/>
      <c r="M1385" s="138"/>
      <c r="N1385" s="138"/>
      <c r="O1385" s="138"/>
      <c r="S1385" s="72"/>
      <c r="T1385" s="72"/>
      <c r="U1385" s="72"/>
      <c r="V1385" s="72"/>
    </row>
    <row r="1386" spans="1:22" s="63" customFormat="1" ht="22.5" x14ac:dyDescent="0.25">
      <c r="A1386" s="84">
        <v>9.2989999999999995</v>
      </c>
      <c r="B1386" s="81" t="s">
        <v>51</v>
      </c>
      <c r="C1386" s="82">
        <v>111</v>
      </c>
      <c r="D1386" s="131" t="s">
        <v>1118</v>
      </c>
      <c r="E1386" s="83" t="s">
        <v>1119</v>
      </c>
      <c r="F1386" s="81" t="s">
        <v>219</v>
      </c>
      <c r="G1386" s="82">
        <v>1</v>
      </c>
      <c r="H1386" s="85"/>
      <c r="I1386" s="86">
        <v>2501.2800000000002</v>
      </c>
      <c r="J1386" s="185">
        <f t="shared" si="143"/>
        <v>2847.96</v>
      </c>
      <c r="K1386" s="189">
        <f t="shared" si="142"/>
        <v>2847.96</v>
      </c>
      <c r="L1386" s="189"/>
      <c r="M1386" s="138"/>
      <c r="N1386" s="138"/>
      <c r="O1386" s="138"/>
      <c r="S1386" s="72"/>
      <c r="T1386" s="72"/>
      <c r="U1386" s="72"/>
      <c r="V1386" s="72"/>
    </row>
    <row r="1387" spans="1:22" s="63" customFormat="1" ht="22.5" x14ac:dyDescent="0.25">
      <c r="A1387" s="84">
        <v>9.3000000000000007</v>
      </c>
      <c r="B1387" s="81" t="s">
        <v>51</v>
      </c>
      <c r="C1387" s="80">
        <v>111.1</v>
      </c>
      <c r="D1387" s="131" t="s">
        <v>1257</v>
      </c>
      <c r="E1387" s="83" t="s">
        <v>1258</v>
      </c>
      <c r="F1387" s="81" t="s">
        <v>219</v>
      </c>
      <c r="G1387" s="82">
        <v>1</v>
      </c>
      <c r="H1387" s="85"/>
      <c r="I1387" s="86">
        <v>746.19</v>
      </c>
      <c r="J1387" s="185">
        <f t="shared" si="143"/>
        <v>849.61</v>
      </c>
      <c r="K1387" s="189">
        <f t="shared" si="142"/>
        <v>849.61</v>
      </c>
      <c r="L1387" s="189"/>
      <c r="M1387" s="138"/>
      <c r="N1387" s="138"/>
      <c r="O1387" s="138"/>
      <c r="S1387" s="72"/>
      <c r="T1387" s="72"/>
      <c r="U1387" s="72"/>
      <c r="V1387" s="72"/>
    </row>
    <row r="1388" spans="1:22" s="63" customFormat="1" ht="22.5" x14ac:dyDescent="0.25">
      <c r="A1388" s="84">
        <v>9.3010000000000002</v>
      </c>
      <c r="B1388" s="81" t="s">
        <v>51</v>
      </c>
      <c r="C1388" s="82">
        <v>112</v>
      </c>
      <c r="D1388" s="131" t="s">
        <v>1143</v>
      </c>
      <c r="E1388" s="83" t="s">
        <v>1144</v>
      </c>
      <c r="F1388" s="81" t="s">
        <v>219</v>
      </c>
      <c r="G1388" s="82">
        <v>1</v>
      </c>
      <c r="H1388" s="85"/>
      <c r="I1388" s="86">
        <v>1524.27</v>
      </c>
      <c r="J1388" s="185">
        <f t="shared" si="143"/>
        <v>1735.53</v>
      </c>
      <c r="K1388" s="189">
        <f t="shared" si="142"/>
        <v>1735.53</v>
      </c>
      <c r="L1388" s="189"/>
      <c r="M1388" s="138"/>
      <c r="N1388" s="138"/>
      <c r="O1388" s="138"/>
      <c r="S1388" s="72"/>
      <c r="T1388" s="72"/>
      <c r="U1388" s="72"/>
      <c r="V1388" s="72"/>
    </row>
    <row r="1389" spans="1:22" s="63" customFormat="1" ht="22.5" x14ac:dyDescent="0.25">
      <c r="A1389" s="84">
        <v>9.3019999999999996</v>
      </c>
      <c r="B1389" s="81" t="s">
        <v>51</v>
      </c>
      <c r="C1389" s="80">
        <v>112.1</v>
      </c>
      <c r="D1389" s="131" t="s">
        <v>1203</v>
      </c>
      <c r="E1389" s="83" t="s">
        <v>1204</v>
      </c>
      <c r="F1389" s="81" t="s">
        <v>219</v>
      </c>
      <c r="G1389" s="82">
        <v>1</v>
      </c>
      <c r="H1389" s="85"/>
      <c r="I1389" s="86">
        <v>3867.95</v>
      </c>
      <c r="J1389" s="185">
        <f t="shared" si="143"/>
        <v>4404.05</v>
      </c>
      <c r="K1389" s="189">
        <f t="shared" si="142"/>
        <v>4404.05</v>
      </c>
      <c r="L1389" s="189"/>
      <c r="M1389" s="138"/>
      <c r="N1389" s="138"/>
      <c r="O1389" s="138"/>
      <c r="S1389" s="72"/>
      <c r="T1389" s="72"/>
      <c r="U1389" s="72"/>
      <c r="V1389" s="72"/>
    </row>
    <row r="1390" spans="1:22" s="128" customFormat="1" ht="12.75" x14ac:dyDescent="0.25">
      <c r="A1390" s="242"/>
      <c r="B1390" s="125"/>
      <c r="C1390" s="236"/>
      <c r="D1390" s="77"/>
      <c r="E1390" s="126" t="s">
        <v>3299</v>
      </c>
      <c r="F1390" s="125"/>
      <c r="G1390" s="76"/>
      <c r="H1390" s="127"/>
      <c r="I1390" s="78"/>
      <c r="J1390" s="238"/>
      <c r="K1390" s="239"/>
      <c r="L1390" s="239"/>
      <c r="M1390" s="79"/>
      <c r="N1390" s="79"/>
      <c r="O1390" s="79"/>
      <c r="S1390" s="129"/>
      <c r="T1390" s="129"/>
      <c r="U1390" s="129"/>
      <c r="V1390" s="129"/>
    </row>
    <row r="1391" spans="1:22" s="63" customFormat="1" ht="15" x14ac:dyDescent="0.25">
      <c r="A1391" s="84">
        <v>9.3030000000000008</v>
      </c>
      <c r="B1391" s="81" t="s">
        <v>51</v>
      </c>
      <c r="C1391" s="82">
        <v>113</v>
      </c>
      <c r="D1391" s="131" t="s">
        <v>1220</v>
      </c>
      <c r="E1391" s="83" t="s">
        <v>1221</v>
      </c>
      <c r="F1391" s="81" t="s">
        <v>219</v>
      </c>
      <c r="G1391" s="82">
        <v>1</v>
      </c>
      <c r="H1391" s="85"/>
      <c r="I1391" s="86">
        <v>8223.4699999999993</v>
      </c>
      <c r="J1391" s="185">
        <f>ROUND($I1391/$G1391*$N$11,2)</f>
        <v>9363.24</v>
      </c>
      <c r="K1391" s="189">
        <f t="shared" ref="K1391:K1407" si="144">ROUND(G1391*J1391,2)</f>
        <v>9363.24</v>
      </c>
      <c r="L1391" s="189"/>
      <c r="M1391" s="138"/>
      <c r="N1391" s="138"/>
      <c r="O1391" s="138"/>
      <c r="S1391" s="72"/>
      <c r="T1391" s="72"/>
      <c r="U1391" s="72"/>
      <c r="V1391" s="72"/>
    </row>
    <row r="1392" spans="1:22" s="63" customFormat="1" ht="22.5" x14ac:dyDescent="0.25">
      <c r="A1392" s="84">
        <v>9.3040000000000003</v>
      </c>
      <c r="B1392" s="81" t="s">
        <v>51</v>
      </c>
      <c r="C1392" s="80">
        <v>113.1</v>
      </c>
      <c r="D1392" s="131" t="s">
        <v>1071</v>
      </c>
      <c r="E1392" s="83" t="s">
        <v>1072</v>
      </c>
      <c r="F1392" s="81" t="s">
        <v>226</v>
      </c>
      <c r="G1392" s="88">
        <v>2.8E-3</v>
      </c>
      <c r="H1392" s="85"/>
      <c r="I1392" s="86">
        <v>373.49</v>
      </c>
      <c r="J1392" s="185">
        <f>ROUND($I1392/$G1392*$N$11,2)</f>
        <v>151877.04</v>
      </c>
      <c r="K1392" s="189">
        <f t="shared" si="144"/>
        <v>425.26</v>
      </c>
      <c r="L1392" s="189"/>
      <c r="M1392" s="138"/>
      <c r="N1392" s="138"/>
      <c r="O1392" s="138"/>
      <c r="S1392" s="72"/>
      <c r="T1392" s="72"/>
      <c r="U1392" s="72"/>
      <c r="V1392" s="72"/>
    </row>
    <row r="1393" spans="1:22" s="63" customFormat="1" ht="45" x14ac:dyDescent="0.25">
      <c r="A1393" s="84">
        <v>9.3049999999999997</v>
      </c>
      <c r="B1393" s="81" t="s">
        <v>51</v>
      </c>
      <c r="C1393" s="82">
        <v>114</v>
      </c>
      <c r="D1393" s="131" t="s">
        <v>1222</v>
      </c>
      <c r="E1393" s="83" t="s">
        <v>1223</v>
      </c>
      <c r="F1393" s="81" t="s">
        <v>219</v>
      </c>
      <c r="G1393" s="82">
        <v>1</v>
      </c>
      <c r="H1393" s="85"/>
      <c r="I1393" s="86">
        <v>1435.79</v>
      </c>
      <c r="J1393" s="185">
        <f>ROUND($I1393/$G1393*$N$11,2)</f>
        <v>1634.79</v>
      </c>
      <c r="K1393" s="189">
        <f t="shared" si="144"/>
        <v>1634.79</v>
      </c>
      <c r="L1393" s="189"/>
      <c r="M1393" s="138"/>
      <c r="N1393" s="138"/>
      <c r="O1393" s="138"/>
      <c r="S1393" s="72"/>
      <c r="T1393" s="72"/>
      <c r="U1393" s="72"/>
      <c r="V1393" s="72"/>
    </row>
    <row r="1394" spans="1:22" s="63" customFormat="1" ht="22.5" x14ac:dyDescent="0.25">
      <c r="A1394" s="108">
        <v>9.3059999999999992</v>
      </c>
      <c r="B1394" s="102" t="s">
        <v>51</v>
      </c>
      <c r="C1394" s="103">
        <v>114.1</v>
      </c>
      <c r="D1394" s="167" t="s">
        <v>1259</v>
      </c>
      <c r="E1394" s="104" t="s">
        <v>3613</v>
      </c>
      <c r="F1394" s="102" t="s">
        <v>219</v>
      </c>
      <c r="G1394" s="105">
        <v>1</v>
      </c>
      <c r="H1394" s="106"/>
      <c r="I1394" s="107">
        <v>39751.89</v>
      </c>
      <c r="J1394" s="192">
        <f>ROUND($I1394/$G1394*$N$12,2)</f>
        <v>44462.49</v>
      </c>
      <c r="K1394" s="193">
        <f t="shared" si="144"/>
        <v>44462.49</v>
      </c>
      <c r="L1394" s="193"/>
      <c r="M1394" s="138"/>
      <c r="N1394" s="138"/>
      <c r="O1394" s="138"/>
      <c r="S1394" s="110"/>
      <c r="T1394" s="72"/>
      <c r="U1394" s="72"/>
      <c r="V1394" s="72"/>
    </row>
    <row r="1395" spans="1:22" s="63" customFormat="1" ht="22.5" x14ac:dyDescent="0.25">
      <c r="A1395" s="84">
        <v>9.3070000000000004</v>
      </c>
      <c r="B1395" s="81" t="s">
        <v>51</v>
      </c>
      <c r="C1395" s="82">
        <v>115</v>
      </c>
      <c r="D1395" s="131" t="s">
        <v>1225</v>
      </c>
      <c r="E1395" s="83" t="s">
        <v>1226</v>
      </c>
      <c r="F1395" s="81" t="s">
        <v>566</v>
      </c>
      <c r="G1395" s="80">
        <v>0.1</v>
      </c>
      <c r="H1395" s="85"/>
      <c r="I1395" s="86">
        <v>6364.14</v>
      </c>
      <c r="J1395" s="185">
        <f>ROUND($I1395/$G1395*$N$11,2)</f>
        <v>72462.100000000006</v>
      </c>
      <c r="K1395" s="189">
        <f t="shared" si="144"/>
        <v>7246.21</v>
      </c>
      <c r="L1395" s="189"/>
      <c r="M1395" s="138"/>
      <c r="N1395" s="138"/>
      <c r="O1395" s="138"/>
      <c r="S1395" s="72"/>
      <c r="T1395" s="72"/>
      <c r="U1395" s="72"/>
      <c r="V1395" s="72"/>
    </row>
    <row r="1396" spans="1:22" s="63" customFormat="1" ht="22.5" x14ac:dyDescent="0.25">
      <c r="A1396" s="84">
        <v>9.3079999999999998</v>
      </c>
      <c r="B1396" s="81" t="s">
        <v>51</v>
      </c>
      <c r="C1396" s="80">
        <v>115.1</v>
      </c>
      <c r="D1396" s="131" t="s">
        <v>1244</v>
      </c>
      <c r="E1396" s="83" t="s">
        <v>3609</v>
      </c>
      <c r="F1396" s="81" t="s">
        <v>219</v>
      </c>
      <c r="G1396" s="82">
        <v>1</v>
      </c>
      <c r="H1396" s="85"/>
      <c r="I1396" s="86">
        <v>25269.02</v>
      </c>
      <c r="J1396" s="185">
        <f>ROUND($I1396/$G1396*$N$11,2)</f>
        <v>28771.31</v>
      </c>
      <c r="K1396" s="189">
        <f t="shared" si="144"/>
        <v>28771.31</v>
      </c>
      <c r="L1396" s="189"/>
      <c r="M1396" s="138"/>
      <c r="N1396" s="138"/>
      <c r="O1396" s="138"/>
      <c r="S1396" s="72"/>
      <c r="T1396" s="72"/>
      <c r="U1396" s="72"/>
      <c r="V1396" s="72"/>
    </row>
    <row r="1397" spans="1:22" s="63" customFormat="1" ht="22.5" x14ac:dyDescent="0.25">
      <c r="A1397" s="84">
        <v>9.3089999999999993</v>
      </c>
      <c r="B1397" s="81" t="s">
        <v>51</v>
      </c>
      <c r="C1397" s="82">
        <v>116</v>
      </c>
      <c r="D1397" s="131" t="s">
        <v>783</v>
      </c>
      <c r="E1397" s="83" t="s">
        <v>1078</v>
      </c>
      <c r="F1397" s="81" t="s">
        <v>219</v>
      </c>
      <c r="G1397" s="82">
        <v>1</v>
      </c>
      <c r="H1397" s="85"/>
      <c r="I1397" s="86">
        <v>3276.2</v>
      </c>
      <c r="J1397" s="185">
        <f>ROUND($I1397/$G1397*$N$11,2)</f>
        <v>3730.28</v>
      </c>
      <c r="K1397" s="189">
        <f t="shared" si="144"/>
        <v>3730.28</v>
      </c>
      <c r="L1397" s="189"/>
      <c r="M1397" s="138"/>
      <c r="N1397" s="138"/>
      <c r="O1397" s="138"/>
      <c r="S1397" s="72"/>
      <c r="T1397" s="72"/>
      <c r="U1397" s="72"/>
      <c r="V1397" s="72"/>
    </row>
    <row r="1398" spans="1:22" s="63" customFormat="1" ht="22.5" x14ac:dyDescent="0.25">
      <c r="A1398" s="108">
        <v>9.31</v>
      </c>
      <c r="B1398" s="102" t="s">
        <v>51</v>
      </c>
      <c r="C1398" s="103">
        <v>116.1</v>
      </c>
      <c r="D1398" s="167" t="s">
        <v>1228</v>
      </c>
      <c r="E1398" s="104" t="s">
        <v>3602</v>
      </c>
      <c r="F1398" s="102" t="s">
        <v>219</v>
      </c>
      <c r="G1398" s="105">
        <v>1</v>
      </c>
      <c r="H1398" s="106"/>
      <c r="I1398" s="107">
        <v>21212.97</v>
      </c>
      <c r="J1398" s="192">
        <f>ROUND($I1398/$G1398*$N$12,2)</f>
        <v>23726.71</v>
      </c>
      <c r="K1398" s="193">
        <f t="shared" si="144"/>
        <v>23726.71</v>
      </c>
      <c r="L1398" s="193"/>
      <c r="M1398" s="138"/>
      <c r="N1398" s="138"/>
      <c r="O1398" s="138"/>
      <c r="S1398" s="110"/>
      <c r="T1398" s="72"/>
      <c r="U1398" s="72"/>
      <c r="V1398" s="72"/>
    </row>
    <row r="1399" spans="1:22" s="63" customFormat="1" ht="22.5" x14ac:dyDescent="0.25">
      <c r="A1399" s="84">
        <v>9.3109999999999999</v>
      </c>
      <c r="B1399" s="81" t="s">
        <v>51</v>
      </c>
      <c r="C1399" s="82">
        <v>117</v>
      </c>
      <c r="D1399" s="131" t="s">
        <v>1173</v>
      </c>
      <c r="E1399" s="83" t="s">
        <v>1174</v>
      </c>
      <c r="F1399" s="81" t="s">
        <v>207</v>
      </c>
      <c r="G1399" s="88">
        <v>9.4000000000000004E-3</v>
      </c>
      <c r="H1399" s="85"/>
      <c r="I1399" s="86">
        <v>1762.15</v>
      </c>
      <c r="J1399" s="185">
        <f t="shared" ref="J1399:J1404" si="145">ROUND($I1399/$G1399*$N$11,2)</f>
        <v>213445.11</v>
      </c>
      <c r="K1399" s="189">
        <f t="shared" si="144"/>
        <v>2006.38</v>
      </c>
      <c r="L1399" s="189"/>
      <c r="M1399" s="138"/>
      <c r="N1399" s="138"/>
      <c r="O1399" s="138"/>
      <c r="S1399" s="72"/>
      <c r="T1399" s="72"/>
      <c r="U1399" s="72"/>
      <c r="V1399" s="72"/>
    </row>
    <row r="1400" spans="1:22" s="63" customFormat="1" ht="22.5" x14ac:dyDescent="0.25">
      <c r="A1400" s="84">
        <v>9.3119999999999994</v>
      </c>
      <c r="B1400" s="81" t="s">
        <v>51</v>
      </c>
      <c r="C1400" s="80">
        <v>117.1</v>
      </c>
      <c r="D1400" s="131" t="s">
        <v>1175</v>
      </c>
      <c r="E1400" s="83" t="s">
        <v>1176</v>
      </c>
      <c r="F1400" s="81" t="s">
        <v>370</v>
      </c>
      <c r="G1400" s="87">
        <v>0.94</v>
      </c>
      <c r="H1400" s="85"/>
      <c r="I1400" s="86">
        <v>803.73</v>
      </c>
      <c r="J1400" s="185">
        <f t="shared" si="145"/>
        <v>973.54</v>
      </c>
      <c r="K1400" s="189">
        <f t="shared" si="144"/>
        <v>915.13</v>
      </c>
      <c r="L1400" s="189"/>
      <c r="M1400" s="138"/>
      <c r="N1400" s="138"/>
      <c r="O1400" s="138"/>
      <c r="S1400" s="72"/>
      <c r="T1400" s="72"/>
      <c r="U1400" s="72"/>
      <c r="V1400" s="72"/>
    </row>
    <row r="1401" spans="1:22" s="63" customFormat="1" ht="22.5" x14ac:dyDescent="0.25">
      <c r="A1401" s="84">
        <v>9.3130000000000006</v>
      </c>
      <c r="B1401" s="81" t="s">
        <v>51</v>
      </c>
      <c r="C1401" s="82">
        <v>118</v>
      </c>
      <c r="D1401" s="131" t="s">
        <v>1194</v>
      </c>
      <c r="E1401" s="83" t="s">
        <v>1198</v>
      </c>
      <c r="F1401" s="81" t="s">
        <v>207</v>
      </c>
      <c r="G1401" s="88">
        <v>5.0299999999999997E-2</v>
      </c>
      <c r="H1401" s="85"/>
      <c r="I1401" s="86">
        <v>5731.57</v>
      </c>
      <c r="J1401" s="185">
        <f t="shared" si="145"/>
        <v>129740.87</v>
      </c>
      <c r="K1401" s="189">
        <f t="shared" si="144"/>
        <v>6525.97</v>
      </c>
      <c r="L1401" s="189"/>
      <c r="M1401" s="138"/>
      <c r="N1401" s="138"/>
      <c r="O1401" s="138"/>
      <c r="S1401" s="72"/>
      <c r="T1401" s="72"/>
      <c r="U1401" s="72"/>
      <c r="V1401" s="72"/>
    </row>
    <row r="1402" spans="1:22" s="63" customFormat="1" ht="33.75" x14ac:dyDescent="0.25">
      <c r="A1402" s="84">
        <v>9.3140000000000001</v>
      </c>
      <c r="B1402" s="81" t="s">
        <v>51</v>
      </c>
      <c r="C1402" s="80">
        <v>118.1</v>
      </c>
      <c r="D1402" s="131" t="s">
        <v>1108</v>
      </c>
      <c r="E1402" s="83" t="s">
        <v>3614</v>
      </c>
      <c r="F1402" s="81" t="s">
        <v>370</v>
      </c>
      <c r="G1402" s="87">
        <v>5.03</v>
      </c>
      <c r="H1402" s="85"/>
      <c r="I1402" s="86">
        <v>6356.22</v>
      </c>
      <c r="J1402" s="185">
        <f t="shared" si="145"/>
        <v>1438.81</v>
      </c>
      <c r="K1402" s="189">
        <f t="shared" si="144"/>
        <v>7237.21</v>
      </c>
      <c r="L1402" s="189"/>
      <c r="M1402" s="138"/>
      <c r="N1402" s="138"/>
      <c r="O1402" s="138"/>
      <c r="S1402" s="72"/>
      <c r="T1402" s="72"/>
      <c r="U1402" s="72"/>
      <c r="V1402" s="72"/>
    </row>
    <row r="1403" spans="1:22" s="63" customFormat="1" ht="33.75" x14ac:dyDescent="0.25">
      <c r="A1403" s="84">
        <v>9.3149999999999995</v>
      </c>
      <c r="B1403" s="81" t="s">
        <v>51</v>
      </c>
      <c r="C1403" s="80">
        <v>118.2</v>
      </c>
      <c r="D1403" s="131" t="s">
        <v>1116</v>
      </c>
      <c r="E1403" s="83" t="s">
        <v>1117</v>
      </c>
      <c r="F1403" s="81" t="s">
        <v>226</v>
      </c>
      <c r="G1403" s="84">
        <v>1.4999999999999999E-2</v>
      </c>
      <c r="H1403" s="85"/>
      <c r="I1403" s="86">
        <v>1688.53</v>
      </c>
      <c r="J1403" s="185">
        <f t="shared" si="145"/>
        <v>128170.68</v>
      </c>
      <c r="K1403" s="189">
        <f t="shared" si="144"/>
        <v>1922.56</v>
      </c>
      <c r="L1403" s="189"/>
      <c r="M1403" s="138"/>
      <c r="N1403" s="138"/>
      <c r="O1403" s="138"/>
      <c r="S1403" s="72"/>
      <c r="T1403" s="72"/>
      <c r="U1403" s="72"/>
      <c r="V1403" s="72"/>
    </row>
    <row r="1404" spans="1:22" s="63" customFormat="1" ht="22.5" x14ac:dyDescent="0.25">
      <c r="A1404" s="84">
        <v>9.3160000000000007</v>
      </c>
      <c r="B1404" s="81" t="s">
        <v>51</v>
      </c>
      <c r="C1404" s="82">
        <v>119</v>
      </c>
      <c r="D1404" s="131" t="s">
        <v>1143</v>
      </c>
      <c r="E1404" s="83" t="s">
        <v>1144</v>
      </c>
      <c r="F1404" s="81" t="s">
        <v>219</v>
      </c>
      <c r="G1404" s="82">
        <v>1</v>
      </c>
      <c r="H1404" s="85"/>
      <c r="I1404" s="86">
        <v>1524.27</v>
      </c>
      <c r="J1404" s="185">
        <f t="shared" si="145"/>
        <v>1735.53</v>
      </c>
      <c r="K1404" s="189">
        <f t="shared" si="144"/>
        <v>1735.53</v>
      </c>
      <c r="L1404" s="189"/>
      <c r="M1404" s="138"/>
      <c r="N1404" s="138"/>
      <c r="O1404" s="138"/>
      <c r="S1404" s="72"/>
      <c r="T1404" s="72"/>
      <c r="U1404" s="72"/>
      <c r="V1404" s="72"/>
    </row>
    <row r="1405" spans="1:22" s="63" customFormat="1" ht="22.5" x14ac:dyDescent="0.25">
      <c r="A1405" s="108">
        <v>9.3170000000000002</v>
      </c>
      <c r="B1405" s="102" t="s">
        <v>51</v>
      </c>
      <c r="C1405" s="103">
        <v>119.1</v>
      </c>
      <c r="D1405" s="167" t="s">
        <v>1260</v>
      </c>
      <c r="E1405" s="104" t="s">
        <v>1261</v>
      </c>
      <c r="F1405" s="102" t="s">
        <v>219</v>
      </c>
      <c r="G1405" s="105">
        <v>1</v>
      </c>
      <c r="H1405" s="106"/>
      <c r="I1405" s="107">
        <v>11832</v>
      </c>
      <c r="J1405" s="192">
        <f>ROUND($I1405/$G1405*$N$12,2)</f>
        <v>13234.09</v>
      </c>
      <c r="K1405" s="193">
        <f t="shared" si="144"/>
        <v>13234.09</v>
      </c>
      <c r="L1405" s="193"/>
      <c r="M1405" s="138"/>
      <c r="N1405" s="138"/>
      <c r="O1405" s="138"/>
      <c r="S1405" s="72"/>
      <c r="T1405" s="72"/>
      <c r="U1405" s="72"/>
      <c r="V1405" s="72"/>
    </row>
    <row r="1406" spans="1:22" s="63" customFormat="1" ht="22.5" x14ac:dyDescent="0.25">
      <c r="A1406" s="84">
        <v>9.3179999999999996</v>
      </c>
      <c r="B1406" s="81" t="s">
        <v>51</v>
      </c>
      <c r="C1406" s="82">
        <v>120</v>
      </c>
      <c r="D1406" s="131" t="s">
        <v>1151</v>
      </c>
      <c r="E1406" s="83" t="s">
        <v>1152</v>
      </c>
      <c r="F1406" s="81" t="s">
        <v>205</v>
      </c>
      <c r="G1406" s="84">
        <v>0.14399999999999999</v>
      </c>
      <c r="H1406" s="85"/>
      <c r="I1406" s="86">
        <v>3687.38</v>
      </c>
      <c r="J1406" s="185">
        <f>ROUND($I1406/$G1406*$N$11,2)</f>
        <v>29155.91</v>
      </c>
      <c r="K1406" s="189">
        <f t="shared" si="144"/>
        <v>4198.45</v>
      </c>
      <c r="L1406" s="189"/>
      <c r="M1406" s="138"/>
      <c r="N1406" s="138"/>
      <c r="O1406" s="138"/>
      <c r="S1406" s="72"/>
      <c r="T1406" s="72"/>
      <c r="U1406" s="72"/>
      <c r="V1406" s="72"/>
    </row>
    <row r="1407" spans="1:22" s="63" customFormat="1" ht="22.5" x14ac:dyDescent="0.25">
      <c r="A1407" s="84">
        <v>9.3190000000000008</v>
      </c>
      <c r="B1407" s="81" t="s">
        <v>51</v>
      </c>
      <c r="C1407" s="80">
        <v>120.1</v>
      </c>
      <c r="D1407" s="131" t="s">
        <v>1153</v>
      </c>
      <c r="E1407" s="83" t="s">
        <v>3573</v>
      </c>
      <c r="F1407" s="81" t="s">
        <v>370</v>
      </c>
      <c r="G1407" s="87">
        <v>5.04</v>
      </c>
      <c r="H1407" s="85"/>
      <c r="I1407" s="86">
        <v>1785.15</v>
      </c>
      <c r="J1407" s="185">
        <f>ROUND($I1407/$G1407*$N$11,2)</f>
        <v>403.29</v>
      </c>
      <c r="K1407" s="189">
        <f t="shared" si="144"/>
        <v>2032.58</v>
      </c>
      <c r="L1407" s="189"/>
      <c r="M1407" s="138"/>
      <c r="N1407" s="138"/>
      <c r="O1407" s="138"/>
      <c r="S1407" s="72"/>
      <c r="T1407" s="72"/>
      <c r="U1407" s="72"/>
      <c r="V1407" s="72"/>
    </row>
    <row r="1408" spans="1:22" s="128" customFormat="1" ht="12.75" x14ac:dyDescent="0.25">
      <c r="A1408" s="242"/>
      <c r="B1408" s="125"/>
      <c r="C1408" s="236"/>
      <c r="D1408" s="77"/>
      <c r="E1408" s="126" t="s">
        <v>3300</v>
      </c>
      <c r="F1408" s="125"/>
      <c r="G1408" s="237"/>
      <c r="H1408" s="127"/>
      <c r="I1408" s="78"/>
      <c r="J1408" s="238"/>
      <c r="K1408" s="239"/>
      <c r="L1408" s="239"/>
      <c r="M1408" s="79"/>
      <c r="N1408" s="79"/>
      <c r="O1408" s="79"/>
      <c r="S1408" s="129"/>
      <c r="T1408" s="129"/>
      <c r="U1408" s="129"/>
      <c r="V1408" s="129"/>
    </row>
    <row r="1409" spans="1:22" s="63" customFormat="1" ht="15" x14ac:dyDescent="0.25">
      <c r="A1409" s="84">
        <v>9.32</v>
      </c>
      <c r="B1409" s="81" t="s">
        <v>51</v>
      </c>
      <c r="C1409" s="82">
        <v>121</v>
      </c>
      <c r="D1409" s="131" t="s">
        <v>1220</v>
      </c>
      <c r="E1409" s="83" t="s">
        <v>1221</v>
      </c>
      <c r="F1409" s="81" t="s">
        <v>219</v>
      </c>
      <c r="G1409" s="82">
        <v>1</v>
      </c>
      <c r="H1409" s="85"/>
      <c r="I1409" s="86">
        <v>8223.4699999999993</v>
      </c>
      <c r="J1409" s="185">
        <f>ROUND($I1409/$G1409*$N$11,2)</f>
        <v>9363.24</v>
      </c>
      <c r="K1409" s="189">
        <f t="shared" ref="K1409:K1425" si="146">ROUND(G1409*J1409,2)</f>
        <v>9363.24</v>
      </c>
      <c r="L1409" s="189"/>
      <c r="M1409" s="138"/>
      <c r="N1409" s="138"/>
      <c r="O1409" s="138"/>
      <c r="S1409" s="72"/>
      <c r="T1409" s="72"/>
      <c r="U1409" s="72"/>
      <c r="V1409" s="72"/>
    </row>
    <row r="1410" spans="1:22" s="63" customFormat="1" ht="22.5" x14ac:dyDescent="0.25">
      <c r="A1410" s="84">
        <v>9.3209999999999997</v>
      </c>
      <c r="B1410" s="81" t="s">
        <v>51</v>
      </c>
      <c r="C1410" s="80">
        <v>121.1</v>
      </c>
      <c r="D1410" s="131" t="s">
        <v>1071</v>
      </c>
      <c r="E1410" s="83" t="s">
        <v>1072</v>
      </c>
      <c r="F1410" s="81" t="s">
        <v>226</v>
      </c>
      <c r="G1410" s="88">
        <v>2.8E-3</v>
      </c>
      <c r="H1410" s="85"/>
      <c r="I1410" s="86">
        <v>373.49</v>
      </c>
      <c r="J1410" s="185">
        <f>ROUND($I1410/$G1410*$N$11,2)</f>
        <v>151877.04</v>
      </c>
      <c r="K1410" s="189">
        <f t="shared" si="146"/>
        <v>425.26</v>
      </c>
      <c r="L1410" s="189"/>
      <c r="M1410" s="138"/>
      <c r="N1410" s="138"/>
      <c r="O1410" s="138"/>
      <c r="S1410" s="72"/>
      <c r="T1410" s="72"/>
      <c r="U1410" s="72"/>
      <c r="V1410" s="72"/>
    </row>
    <row r="1411" spans="1:22" s="63" customFormat="1" ht="45" x14ac:dyDescent="0.25">
      <c r="A1411" s="84">
        <v>9.3219999999999992</v>
      </c>
      <c r="B1411" s="81" t="s">
        <v>51</v>
      </c>
      <c r="C1411" s="82">
        <v>122</v>
      </c>
      <c r="D1411" s="131" t="s">
        <v>1222</v>
      </c>
      <c r="E1411" s="83" t="s">
        <v>1223</v>
      </c>
      <c r="F1411" s="81" t="s">
        <v>219</v>
      </c>
      <c r="G1411" s="82">
        <v>1</v>
      </c>
      <c r="H1411" s="85"/>
      <c r="I1411" s="86">
        <v>1435.79</v>
      </c>
      <c r="J1411" s="185">
        <f>ROUND($I1411/$G1411*$N$11,2)</f>
        <v>1634.79</v>
      </c>
      <c r="K1411" s="189">
        <f t="shared" si="146"/>
        <v>1634.79</v>
      </c>
      <c r="L1411" s="189"/>
      <c r="M1411" s="138"/>
      <c r="N1411" s="138"/>
      <c r="O1411" s="138"/>
      <c r="S1411" s="72"/>
      <c r="T1411" s="72"/>
      <c r="U1411" s="72"/>
      <c r="V1411" s="72"/>
    </row>
    <row r="1412" spans="1:22" s="63" customFormat="1" ht="22.5" x14ac:dyDescent="0.25">
      <c r="A1412" s="108">
        <v>9.3230000000000004</v>
      </c>
      <c r="B1412" s="102" t="s">
        <v>51</v>
      </c>
      <c r="C1412" s="103">
        <v>122.1</v>
      </c>
      <c r="D1412" s="167" t="s">
        <v>1259</v>
      </c>
      <c r="E1412" s="104" t="s">
        <v>3613</v>
      </c>
      <c r="F1412" s="102" t="s">
        <v>219</v>
      </c>
      <c r="G1412" s="105">
        <v>1</v>
      </c>
      <c r="H1412" s="106"/>
      <c r="I1412" s="107">
        <v>39751.89</v>
      </c>
      <c r="J1412" s="192">
        <f>ROUND($I1412/$G1412*$N$12,2)</f>
        <v>44462.49</v>
      </c>
      <c r="K1412" s="193">
        <f t="shared" si="146"/>
        <v>44462.49</v>
      </c>
      <c r="L1412" s="193"/>
      <c r="M1412" s="138"/>
      <c r="N1412" s="138"/>
      <c r="O1412" s="138"/>
      <c r="S1412" s="72"/>
      <c r="T1412" s="72"/>
      <c r="U1412" s="72"/>
      <c r="V1412" s="72"/>
    </row>
    <row r="1413" spans="1:22" s="63" customFormat="1" ht="22.5" x14ac:dyDescent="0.25">
      <c r="A1413" s="84">
        <v>9.3239999999999998</v>
      </c>
      <c r="B1413" s="81" t="s">
        <v>51</v>
      </c>
      <c r="C1413" s="82">
        <v>123</v>
      </c>
      <c r="D1413" s="131" t="s">
        <v>1225</v>
      </c>
      <c r="E1413" s="83" t="s">
        <v>1226</v>
      </c>
      <c r="F1413" s="81" t="s">
        <v>566</v>
      </c>
      <c r="G1413" s="80">
        <v>0.1</v>
      </c>
      <c r="H1413" s="85"/>
      <c r="I1413" s="86">
        <v>6364.14</v>
      </c>
      <c r="J1413" s="185">
        <f>ROUND($I1413/$G1413*$N$11,2)</f>
        <v>72462.100000000006</v>
      </c>
      <c r="K1413" s="189">
        <f t="shared" si="146"/>
        <v>7246.21</v>
      </c>
      <c r="L1413" s="189"/>
      <c r="M1413" s="138"/>
      <c r="N1413" s="138"/>
      <c r="O1413" s="138"/>
      <c r="S1413" s="72"/>
      <c r="T1413" s="72"/>
      <c r="U1413" s="72"/>
      <c r="V1413" s="72"/>
    </row>
    <row r="1414" spans="1:22" s="63" customFormat="1" ht="22.5" x14ac:dyDescent="0.25">
      <c r="A1414" s="84">
        <v>9.3249999999999993</v>
      </c>
      <c r="B1414" s="81" t="s">
        <v>51</v>
      </c>
      <c r="C1414" s="80">
        <v>123.1</v>
      </c>
      <c r="D1414" s="131" t="s">
        <v>1244</v>
      </c>
      <c r="E1414" s="83" t="s">
        <v>3609</v>
      </c>
      <c r="F1414" s="81" t="s">
        <v>219</v>
      </c>
      <c r="G1414" s="82">
        <v>1</v>
      </c>
      <c r="H1414" s="85"/>
      <c r="I1414" s="86">
        <v>25269.02</v>
      </c>
      <c r="J1414" s="185">
        <f>ROUND($I1414/$G1414*$N$11,2)</f>
        <v>28771.31</v>
      </c>
      <c r="K1414" s="189">
        <f t="shared" si="146"/>
        <v>28771.31</v>
      </c>
      <c r="L1414" s="189"/>
      <c r="M1414" s="138"/>
      <c r="N1414" s="138"/>
      <c r="O1414" s="138"/>
      <c r="S1414" s="72"/>
      <c r="T1414" s="72"/>
      <c r="U1414" s="72"/>
      <c r="V1414" s="72"/>
    </row>
    <row r="1415" spans="1:22" s="63" customFormat="1" ht="22.5" x14ac:dyDescent="0.25">
      <c r="A1415" s="84">
        <v>9.3260000000000005</v>
      </c>
      <c r="B1415" s="81" t="s">
        <v>51</v>
      </c>
      <c r="C1415" s="82">
        <v>124</v>
      </c>
      <c r="D1415" s="131" t="s">
        <v>783</v>
      </c>
      <c r="E1415" s="83" t="s">
        <v>1078</v>
      </c>
      <c r="F1415" s="81" t="s">
        <v>219</v>
      </c>
      <c r="G1415" s="82">
        <v>1</v>
      </c>
      <c r="H1415" s="85"/>
      <c r="I1415" s="86">
        <v>3276.2</v>
      </c>
      <c r="J1415" s="185">
        <f>ROUND($I1415/$G1415*$N$11,2)</f>
        <v>3730.28</v>
      </c>
      <c r="K1415" s="189">
        <f t="shared" si="146"/>
        <v>3730.28</v>
      </c>
      <c r="L1415" s="189"/>
      <c r="M1415" s="138"/>
      <c r="N1415" s="138"/>
      <c r="O1415" s="138"/>
      <c r="S1415" s="72"/>
      <c r="T1415" s="72"/>
      <c r="U1415" s="72"/>
      <c r="V1415" s="72"/>
    </row>
    <row r="1416" spans="1:22" s="63" customFormat="1" ht="22.5" x14ac:dyDescent="0.25">
      <c r="A1416" s="108">
        <v>9.327</v>
      </c>
      <c r="B1416" s="102" t="s">
        <v>51</v>
      </c>
      <c r="C1416" s="103">
        <v>124.1</v>
      </c>
      <c r="D1416" s="167" t="s">
        <v>1228</v>
      </c>
      <c r="E1416" s="104" t="s">
        <v>3602</v>
      </c>
      <c r="F1416" s="102" t="s">
        <v>219</v>
      </c>
      <c r="G1416" s="105">
        <v>1</v>
      </c>
      <c r="H1416" s="106"/>
      <c r="I1416" s="107">
        <v>21212.97</v>
      </c>
      <c r="J1416" s="192">
        <f>ROUND($I1416/$G1416*$N$12,2)</f>
        <v>23726.71</v>
      </c>
      <c r="K1416" s="193">
        <f t="shared" si="146"/>
        <v>23726.71</v>
      </c>
      <c r="L1416" s="193"/>
      <c r="M1416" s="138"/>
      <c r="N1416" s="138"/>
      <c r="O1416" s="138"/>
      <c r="S1416" s="110"/>
      <c r="T1416" s="72"/>
      <c r="U1416" s="72"/>
      <c r="V1416" s="72"/>
    </row>
    <row r="1417" spans="1:22" s="63" customFormat="1" ht="22.5" x14ac:dyDescent="0.25">
      <c r="A1417" s="84">
        <v>9.3279999999999994</v>
      </c>
      <c r="B1417" s="81" t="s">
        <v>51</v>
      </c>
      <c r="C1417" s="82">
        <v>125</v>
      </c>
      <c r="D1417" s="131" t="s">
        <v>1173</v>
      </c>
      <c r="E1417" s="83" t="s">
        <v>1174</v>
      </c>
      <c r="F1417" s="81" t="s">
        <v>207</v>
      </c>
      <c r="G1417" s="88">
        <v>1.8800000000000001E-2</v>
      </c>
      <c r="H1417" s="85"/>
      <c r="I1417" s="86">
        <v>3525.79</v>
      </c>
      <c r="J1417" s="185">
        <f t="shared" ref="J1417:J1422" si="147">ROUND($I1417/$G1417*$N$11,2)</f>
        <v>213535.35</v>
      </c>
      <c r="K1417" s="189">
        <f t="shared" si="146"/>
        <v>4014.46</v>
      </c>
      <c r="L1417" s="189"/>
      <c r="M1417" s="138"/>
      <c r="N1417" s="138"/>
      <c r="O1417" s="138"/>
      <c r="S1417" s="72"/>
      <c r="T1417" s="72"/>
      <c r="U1417" s="72"/>
      <c r="V1417" s="72"/>
    </row>
    <row r="1418" spans="1:22" s="63" customFormat="1" ht="22.5" x14ac:dyDescent="0.25">
      <c r="A1418" s="84">
        <v>9.3290000000000006</v>
      </c>
      <c r="B1418" s="81" t="s">
        <v>51</v>
      </c>
      <c r="C1418" s="80">
        <v>125.1</v>
      </c>
      <c r="D1418" s="131" t="s">
        <v>1175</v>
      </c>
      <c r="E1418" s="83" t="s">
        <v>1176</v>
      </c>
      <c r="F1418" s="81" t="s">
        <v>370</v>
      </c>
      <c r="G1418" s="87">
        <v>1.88</v>
      </c>
      <c r="H1418" s="85"/>
      <c r="I1418" s="86">
        <v>1607.55</v>
      </c>
      <c r="J1418" s="185">
        <f t="shared" si="147"/>
        <v>973.59</v>
      </c>
      <c r="K1418" s="189">
        <f t="shared" si="146"/>
        <v>1830.35</v>
      </c>
      <c r="L1418" s="189"/>
      <c r="M1418" s="138"/>
      <c r="N1418" s="138"/>
      <c r="O1418" s="138"/>
      <c r="S1418" s="72"/>
      <c r="T1418" s="72"/>
      <c r="U1418" s="72"/>
      <c r="V1418" s="72"/>
    </row>
    <row r="1419" spans="1:22" s="63" customFormat="1" ht="22.5" x14ac:dyDescent="0.25">
      <c r="A1419" s="84">
        <v>9.33</v>
      </c>
      <c r="B1419" s="81" t="s">
        <v>51</v>
      </c>
      <c r="C1419" s="82">
        <v>126</v>
      </c>
      <c r="D1419" s="131" t="s">
        <v>1194</v>
      </c>
      <c r="E1419" s="83" t="s">
        <v>1198</v>
      </c>
      <c r="F1419" s="81" t="s">
        <v>207</v>
      </c>
      <c r="G1419" s="88">
        <v>6.2799999999999995E-2</v>
      </c>
      <c r="H1419" s="85"/>
      <c r="I1419" s="86">
        <v>7156.59</v>
      </c>
      <c r="J1419" s="185">
        <f t="shared" si="147"/>
        <v>129753.08</v>
      </c>
      <c r="K1419" s="189">
        <f t="shared" si="146"/>
        <v>8148.49</v>
      </c>
      <c r="L1419" s="189"/>
      <c r="M1419" s="138"/>
      <c r="N1419" s="138"/>
      <c r="O1419" s="138"/>
      <c r="S1419" s="72"/>
      <c r="T1419" s="72"/>
      <c r="U1419" s="72"/>
      <c r="V1419" s="72"/>
    </row>
    <row r="1420" spans="1:22" s="63" customFormat="1" ht="33.75" x14ac:dyDescent="0.25">
      <c r="A1420" s="84">
        <v>9.3309999999999995</v>
      </c>
      <c r="B1420" s="81" t="s">
        <v>51</v>
      </c>
      <c r="C1420" s="80">
        <v>126.1</v>
      </c>
      <c r="D1420" s="131" t="s">
        <v>1108</v>
      </c>
      <c r="E1420" s="83" t="s">
        <v>3614</v>
      </c>
      <c r="F1420" s="81" t="s">
        <v>370</v>
      </c>
      <c r="G1420" s="87">
        <v>6.28</v>
      </c>
      <c r="H1420" s="85"/>
      <c r="I1420" s="86">
        <v>7935.79</v>
      </c>
      <c r="J1420" s="185">
        <f t="shared" si="147"/>
        <v>1438.8</v>
      </c>
      <c r="K1420" s="189">
        <f t="shared" si="146"/>
        <v>9035.66</v>
      </c>
      <c r="L1420" s="189"/>
      <c r="M1420" s="138"/>
      <c r="N1420" s="138"/>
      <c r="O1420" s="138"/>
      <c r="S1420" s="72"/>
      <c r="T1420" s="72"/>
      <c r="U1420" s="72"/>
      <c r="V1420" s="72"/>
    </row>
    <row r="1421" spans="1:22" s="63" customFormat="1" ht="33.75" x14ac:dyDescent="0.25">
      <c r="A1421" s="84">
        <v>9.3320000000000007</v>
      </c>
      <c r="B1421" s="81" t="s">
        <v>51</v>
      </c>
      <c r="C1421" s="80">
        <v>126.2</v>
      </c>
      <c r="D1421" s="131" t="s">
        <v>1116</v>
      </c>
      <c r="E1421" s="83" t="s">
        <v>1117</v>
      </c>
      <c r="F1421" s="81" t="s">
        <v>226</v>
      </c>
      <c r="G1421" s="84">
        <v>1.7999999999999999E-2</v>
      </c>
      <c r="H1421" s="85"/>
      <c r="I1421" s="86">
        <v>2026.24</v>
      </c>
      <c r="J1421" s="185">
        <f t="shared" si="147"/>
        <v>128170.94</v>
      </c>
      <c r="K1421" s="189">
        <f t="shared" si="146"/>
        <v>2307.08</v>
      </c>
      <c r="L1421" s="189"/>
      <c r="M1421" s="138"/>
      <c r="N1421" s="138"/>
      <c r="O1421" s="138"/>
      <c r="S1421" s="72"/>
      <c r="T1421" s="72"/>
      <c r="U1421" s="72"/>
      <c r="V1421" s="72"/>
    </row>
    <row r="1422" spans="1:22" s="63" customFormat="1" ht="22.5" x14ac:dyDescent="0.25">
      <c r="A1422" s="84">
        <v>9.3330000000000002</v>
      </c>
      <c r="B1422" s="81" t="s">
        <v>51</v>
      </c>
      <c r="C1422" s="82">
        <v>127</v>
      </c>
      <c r="D1422" s="131" t="s">
        <v>1143</v>
      </c>
      <c r="E1422" s="83" t="s">
        <v>1144</v>
      </c>
      <c r="F1422" s="81" t="s">
        <v>219</v>
      </c>
      <c r="G1422" s="82">
        <v>1</v>
      </c>
      <c r="H1422" s="85"/>
      <c r="I1422" s="86">
        <v>1524.27</v>
      </c>
      <c r="J1422" s="185">
        <f t="shared" si="147"/>
        <v>1735.53</v>
      </c>
      <c r="K1422" s="189">
        <f t="shared" si="146"/>
        <v>1735.53</v>
      </c>
      <c r="L1422" s="189"/>
      <c r="M1422" s="138"/>
      <c r="N1422" s="138"/>
      <c r="O1422" s="138"/>
      <c r="S1422" s="72"/>
      <c r="T1422" s="72"/>
      <c r="U1422" s="72"/>
      <c r="V1422" s="72"/>
    </row>
    <row r="1423" spans="1:22" s="63" customFormat="1" ht="22.5" x14ac:dyDescent="0.25">
      <c r="A1423" s="108">
        <v>9.3339999999999996</v>
      </c>
      <c r="B1423" s="102" t="s">
        <v>51</v>
      </c>
      <c r="C1423" s="103">
        <v>127.1</v>
      </c>
      <c r="D1423" s="167" t="s">
        <v>1260</v>
      </c>
      <c r="E1423" s="104" t="s">
        <v>1261</v>
      </c>
      <c r="F1423" s="102" t="s">
        <v>219</v>
      </c>
      <c r="G1423" s="105">
        <v>1</v>
      </c>
      <c r="H1423" s="106"/>
      <c r="I1423" s="107">
        <v>11832</v>
      </c>
      <c r="J1423" s="192">
        <f>ROUND($I1423/$G1423*$N$12,2)</f>
        <v>13234.09</v>
      </c>
      <c r="K1423" s="193">
        <f t="shared" si="146"/>
        <v>13234.09</v>
      </c>
      <c r="L1423" s="193"/>
      <c r="M1423" s="138"/>
      <c r="N1423" s="138"/>
      <c r="O1423" s="138"/>
      <c r="S1423" s="72"/>
      <c r="T1423" s="72"/>
      <c r="U1423" s="72"/>
      <c r="V1423" s="72"/>
    </row>
    <row r="1424" spans="1:22" s="63" customFormat="1" ht="22.5" x14ac:dyDescent="0.25">
      <c r="A1424" s="84">
        <v>9.3350000000000009</v>
      </c>
      <c r="B1424" s="81" t="s">
        <v>51</v>
      </c>
      <c r="C1424" s="82">
        <v>128</v>
      </c>
      <c r="D1424" s="131" t="s">
        <v>1151</v>
      </c>
      <c r="E1424" s="83" t="s">
        <v>1152</v>
      </c>
      <c r="F1424" s="81" t="s">
        <v>205</v>
      </c>
      <c r="G1424" s="84">
        <v>0.153</v>
      </c>
      <c r="H1424" s="85"/>
      <c r="I1424" s="86">
        <v>3917.41</v>
      </c>
      <c r="J1424" s="185">
        <f>ROUND($I1424/$G1424*$N$11,2)</f>
        <v>29152.7</v>
      </c>
      <c r="K1424" s="189">
        <f t="shared" si="146"/>
        <v>4460.3599999999997</v>
      </c>
      <c r="L1424" s="189"/>
      <c r="M1424" s="138"/>
      <c r="N1424" s="138"/>
      <c r="O1424" s="138"/>
      <c r="S1424" s="72"/>
      <c r="T1424" s="72"/>
      <c r="U1424" s="72"/>
      <c r="V1424" s="72"/>
    </row>
    <row r="1425" spans="1:22" s="63" customFormat="1" ht="22.5" x14ac:dyDescent="0.25">
      <c r="A1425" s="84">
        <v>9.3360000000000003</v>
      </c>
      <c r="B1425" s="81" t="s">
        <v>51</v>
      </c>
      <c r="C1425" s="80">
        <v>128.1</v>
      </c>
      <c r="D1425" s="131" t="s">
        <v>1153</v>
      </c>
      <c r="E1425" s="83" t="s">
        <v>3573</v>
      </c>
      <c r="F1425" s="81" t="s">
        <v>370</v>
      </c>
      <c r="G1425" s="84">
        <v>5.3550000000000004</v>
      </c>
      <c r="H1425" s="85"/>
      <c r="I1425" s="86">
        <v>1896.77</v>
      </c>
      <c r="J1425" s="185">
        <f>ROUND($I1425/$G1425*$N$11,2)</f>
        <v>403.3</v>
      </c>
      <c r="K1425" s="189">
        <f t="shared" si="146"/>
        <v>2159.67</v>
      </c>
      <c r="L1425" s="189"/>
      <c r="M1425" s="138"/>
      <c r="N1425" s="138"/>
      <c r="O1425" s="138"/>
      <c r="S1425" s="72"/>
      <c r="T1425" s="72"/>
      <c r="U1425" s="72"/>
      <c r="V1425" s="72"/>
    </row>
    <row r="1426" spans="1:22" s="128" customFormat="1" ht="12.75" x14ac:dyDescent="0.25">
      <c r="A1426" s="242"/>
      <c r="B1426" s="125"/>
      <c r="C1426" s="236"/>
      <c r="D1426" s="77"/>
      <c r="E1426" s="126" t="s">
        <v>3301</v>
      </c>
      <c r="F1426" s="125"/>
      <c r="G1426" s="242"/>
      <c r="H1426" s="127"/>
      <c r="I1426" s="78"/>
      <c r="J1426" s="238"/>
      <c r="K1426" s="239"/>
      <c r="L1426" s="239"/>
      <c r="M1426" s="79"/>
      <c r="N1426" s="79"/>
      <c r="O1426" s="79"/>
      <c r="S1426" s="129"/>
      <c r="T1426" s="129"/>
      <c r="U1426" s="129"/>
      <c r="V1426" s="129"/>
    </row>
    <row r="1427" spans="1:22" s="63" customFormat="1" ht="15" x14ac:dyDescent="0.25">
      <c r="A1427" s="84">
        <v>9.3369999999999997</v>
      </c>
      <c r="B1427" s="81" t="s">
        <v>51</v>
      </c>
      <c r="C1427" s="82">
        <v>129</v>
      </c>
      <c r="D1427" s="131" t="s">
        <v>1220</v>
      </c>
      <c r="E1427" s="83" t="s">
        <v>1221</v>
      </c>
      <c r="F1427" s="81" t="s">
        <v>219</v>
      </c>
      <c r="G1427" s="82">
        <v>1</v>
      </c>
      <c r="H1427" s="85"/>
      <c r="I1427" s="86">
        <v>8223.4699999999993</v>
      </c>
      <c r="J1427" s="185">
        <f>ROUND($I1427/$G1427*$N$11,2)</f>
        <v>9363.24</v>
      </c>
      <c r="K1427" s="189">
        <f t="shared" ref="K1427:K1468" si="148">ROUND(G1427*J1427,2)</f>
        <v>9363.24</v>
      </c>
      <c r="L1427" s="189"/>
      <c r="M1427" s="138"/>
      <c r="N1427" s="138"/>
      <c r="O1427" s="138"/>
      <c r="S1427" s="72"/>
      <c r="T1427" s="72"/>
      <c r="U1427" s="72"/>
      <c r="V1427" s="72"/>
    </row>
    <row r="1428" spans="1:22" s="63" customFormat="1" ht="22.5" x14ac:dyDescent="0.25">
      <c r="A1428" s="84">
        <v>9.3379999999999992</v>
      </c>
      <c r="B1428" s="81" t="s">
        <v>51</v>
      </c>
      <c r="C1428" s="80">
        <v>129.1</v>
      </c>
      <c r="D1428" s="131" t="s">
        <v>1071</v>
      </c>
      <c r="E1428" s="83" t="s">
        <v>1072</v>
      </c>
      <c r="F1428" s="81" t="s">
        <v>226</v>
      </c>
      <c r="G1428" s="88">
        <v>2.8E-3</v>
      </c>
      <c r="H1428" s="85"/>
      <c r="I1428" s="86">
        <v>373.49</v>
      </c>
      <c r="J1428" s="185">
        <f>ROUND($I1428/$G1428*$N$11,2)</f>
        <v>151877.04</v>
      </c>
      <c r="K1428" s="189">
        <f t="shared" si="148"/>
        <v>425.26</v>
      </c>
      <c r="L1428" s="189"/>
      <c r="M1428" s="138"/>
      <c r="N1428" s="138"/>
      <c r="O1428" s="138"/>
      <c r="S1428" s="72"/>
      <c r="T1428" s="72"/>
      <c r="U1428" s="72"/>
      <c r="V1428" s="72"/>
    </row>
    <row r="1429" spans="1:22" s="63" customFormat="1" ht="45" x14ac:dyDescent="0.25">
      <c r="A1429" s="84">
        <v>9.3390000000000004</v>
      </c>
      <c r="B1429" s="81" t="s">
        <v>51</v>
      </c>
      <c r="C1429" s="82">
        <v>130</v>
      </c>
      <c r="D1429" s="131" t="s">
        <v>1222</v>
      </c>
      <c r="E1429" s="83" t="s">
        <v>1223</v>
      </c>
      <c r="F1429" s="81" t="s">
        <v>219</v>
      </c>
      <c r="G1429" s="82">
        <v>1</v>
      </c>
      <c r="H1429" s="85"/>
      <c r="I1429" s="86">
        <v>1435.79</v>
      </c>
      <c r="J1429" s="185">
        <f>ROUND($I1429/$G1429*$N$11,2)</f>
        <v>1634.79</v>
      </c>
      <c r="K1429" s="189">
        <f t="shared" si="148"/>
        <v>1634.79</v>
      </c>
      <c r="L1429" s="189"/>
      <c r="M1429" s="138"/>
      <c r="N1429" s="138"/>
      <c r="O1429" s="138"/>
      <c r="S1429" s="72"/>
      <c r="T1429" s="72"/>
      <c r="U1429" s="72"/>
      <c r="V1429" s="72"/>
    </row>
    <row r="1430" spans="1:22" s="63" customFormat="1" ht="22.5" x14ac:dyDescent="0.25">
      <c r="A1430" s="108">
        <v>9.34</v>
      </c>
      <c r="B1430" s="102" t="s">
        <v>51</v>
      </c>
      <c r="C1430" s="103">
        <v>130.1</v>
      </c>
      <c r="D1430" s="167" t="s">
        <v>1243</v>
      </c>
      <c r="E1430" s="104" t="s">
        <v>3608</v>
      </c>
      <c r="F1430" s="102" t="s">
        <v>219</v>
      </c>
      <c r="G1430" s="105">
        <v>1</v>
      </c>
      <c r="H1430" s="106"/>
      <c r="I1430" s="107">
        <v>41882.400000000001</v>
      </c>
      <c r="J1430" s="192">
        <f>ROUND($I1430/$G1430*$N$12,2)</f>
        <v>46845.46</v>
      </c>
      <c r="K1430" s="193">
        <f t="shared" si="148"/>
        <v>46845.46</v>
      </c>
      <c r="L1430" s="193"/>
      <c r="M1430" s="138"/>
      <c r="N1430" s="138"/>
      <c r="O1430" s="138"/>
      <c r="S1430" s="72"/>
      <c r="T1430" s="72"/>
      <c r="U1430" s="72"/>
      <c r="V1430" s="72"/>
    </row>
    <row r="1431" spans="1:22" s="63" customFormat="1" ht="22.5" x14ac:dyDescent="0.25">
      <c r="A1431" s="84">
        <v>9.3409999999999993</v>
      </c>
      <c r="B1431" s="81" t="s">
        <v>51</v>
      </c>
      <c r="C1431" s="82">
        <v>131</v>
      </c>
      <c r="D1431" s="131" t="s">
        <v>1225</v>
      </c>
      <c r="E1431" s="83" t="s">
        <v>1226</v>
      </c>
      <c r="F1431" s="81" t="s">
        <v>566</v>
      </c>
      <c r="G1431" s="80">
        <v>0.1</v>
      </c>
      <c r="H1431" s="85"/>
      <c r="I1431" s="86">
        <v>6364.14</v>
      </c>
      <c r="J1431" s="185">
        <f>ROUND($I1431/$G1431*$N$11,2)</f>
        <v>72462.100000000006</v>
      </c>
      <c r="K1431" s="189">
        <f t="shared" si="148"/>
        <v>7246.21</v>
      </c>
      <c r="L1431" s="189"/>
      <c r="M1431" s="138"/>
      <c r="N1431" s="138"/>
      <c r="O1431" s="138"/>
      <c r="S1431" s="72"/>
      <c r="T1431" s="72"/>
      <c r="U1431" s="72"/>
      <c r="V1431" s="72"/>
    </row>
    <row r="1432" spans="1:22" s="63" customFormat="1" ht="22.5" x14ac:dyDescent="0.25">
      <c r="A1432" s="84">
        <v>9.3420000000000005</v>
      </c>
      <c r="B1432" s="81" t="s">
        <v>51</v>
      </c>
      <c r="C1432" s="80">
        <v>131.1</v>
      </c>
      <c r="D1432" s="131" t="s">
        <v>1244</v>
      </c>
      <c r="E1432" s="83" t="s">
        <v>3609</v>
      </c>
      <c r="F1432" s="81" t="s">
        <v>219</v>
      </c>
      <c r="G1432" s="82">
        <v>1</v>
      </c>
      <c r="H1432" s="85"/>
      <c r="I1432" s="86">
        <v>25269.02</v>
      </c>
      <c r="J1432" s="185">
        <f>ROUND($I1432/$G1432*$N$11,2)</f>
        <v>28771.31</v>
      </c>
      <c r="K1432" s="189">
        <f t="shared" si="148"/>
        <v>28771.31</v>
      </c>
      <c r="L1432" s="189"/>
      <c r="M1432" s="138"/>
      <c r="N1432" s="138"/>
      <c r="O1432" s="138"/>
      <c r="S1432" s="72"/>
      <c r="T1432" s="72"/>
      <c r="U1432" s="72"/>
      <c r="V1432" s="72"/>
    </row>
    <row r="1433" spans="1:22" s="63" customFormat="1" ht="22.5" x14ac:dyDescent="0.25">
      <c r="A1433" s="84">
        <v>9.343</v>
      </c>
      <c r="B1433" s="81" t="s">
        <v>51</v>
      </c>
      <c r="C1433" s="82">
        <v>132</v>
      </c>
      <c r="D1433" s="131" t="s">
        <v>783</v>
      </c>
      <c r="E1433" s="83" t="s">
        <v>1078</v>
      </c>
      <c r="F1433" s="81" t="s">
        <v>219</v>
      </c>
      <c r="G1433" s="82">
        <v>1</v>
      </c>
      <c r="H1433" s="85"/>
      <c r="I1433" s="86">
        <v>3276.2</v>
      </c>
      <c r="J1433" s="185">
        <f>ROUND($I1433/$G1433*$N$11,2)</f>
        <v>3730.28</v>
      </c>
      <c r="K1433" s="189">
        <f t="shared" si="148"/>
        <v>3730.28</v>
      </c>
      <c r="L1433" s="189"/>
      <c r="M1433" s="138"/>
      <c r="N1433" s="138"/>
      <c r="O1433" s="138"/>
      <c r="S1433" s="72"/>
      <c r="T1433" s="72"/>
      <c r="U1433" s="72"/>
      <c r="V1433" s="72"/>
    </row>
    <row r="1434" spans="1:22" s="63" customFormat="1" ht="22.5" x14ac:dyDescent="0.25">
      <c r="A1434" s="108">
        <v>9.3439999999999994</v>
      </c>
      <c r="B1434" s="102" t="s">
        <v>51</v>
      </c>
      <c r="C1434" s="103">
        <v>132.1</v>
      </c>
      <c r="D1434" s="167" t="s">
        <v>1228</v>
      </c>
      <c r="E1434" s="104" t="s">
        <v>3602</v>
      </c>
      <c r="F1434" s="102" t="s">
        <v>219</v>
      </c>
      <c r="G1434" s="105">
        <v>1</v>
      </c>
      <c r="H1434" s="106"/>
      <c r="I1434" s="107">
        <v>21212.97</v>
      </c>
      <c r="J1434" s="192">
        <f>ROUND($I1434/$G1434*$N$12,2)</f>
        <v>23726.71</v>
      </c>
      <c r="K1434" s="193">
        <f t="shared" si="148"/>
        <v>23726.71</v>
      </c>
      <c r="L1434" s="193"/>
      <c r="M1434" s="138"/>
      <c r="N1434" s="138"/>
      <c r="O1434" s="138"/>
      <c r="S1434" s="110"/>
      <c r="T1434" s="72"/>
      <c r="U1434" s="72"/>
      <c r="V1434" s="72"/>
    </row>
    <row r="1435" spans="1:22" s="63" customFormat="1" ht="22.5" x14ac:dyDescent="0.25">
      <c r="A1435" s="84">
        <v>9.3450000000000006</v>
      </c>
      <c r="B1435" s="81" t="s">
        <v>51</v>
      </c>
      <c r="C1435" s="82">
        <v>133</v>
      </c>
      <c r="D1435" s="131" t="s">
        <v>1086</v>
      </c>
      <c r="E1435" s="83" t="s">
        <v>1087</v>
      </c>
      <c r="F1435" s="81" t="s">
        <v>207</v>
      </c>
      <c r="G1435" s="84">
        <v>3.0000000000000001E-3</v>
      </c>
      <c r="H1435" s="85"/>
      <c r="I1435" s="86">
        <v>561.95000000000005</v>
      </c>
      <c r="J1435" s="185">
        <f t="shared" ref="J1435:J1458" si="149">ROUND($I1435/$G1435*$N$11,2)</f>
        <v>213278.76</v>
      </c>
      <c r="K1435" s="189">
        <f t="shared" si="148"/>
        <v>639.84</v>
      </c>
      <c r="L1435" s="189"/>
      <c r="M1435" s="138"/>
      <c r="N1435" s="138"/>
      <c r="O1435" s="138"/>
      <c r="S1435" s="72"/>
      <c r="T1435" s="72"/>
      <c r="U1435" s="72"/>
      <c r="V1435" s="72"/>
    </row>
    <row r="1436" spans="1:22" s="63" customFormat="1" ht="22.5" x14ac:dyDescent="0.25">
      <c r="A1436" s="84">
        <v>9.3460000000000001</v>
      </c>
      <c r="B1436" s="81" t="s">
        <v>51</v>
      </c>
      <c r="C1436" s="80">
        <v>133.1</v>
      </c>
      <c r="D1436" s="131" t="s">
        <v>1088</v>
      </c>
      <c r="E1436" s="83" t="s">
        <v>1089</v>
      </c>
      <c r="F1436" s="81" t="s">
        <v>370</v>
      </c>
      <c r="G1436" s="80">
        <v>0.3</v>
      </c>
      <c r="H1436" s="85"/>
      <c r="I1436" s="86">
        <v>272.79000000000002</v>
      </c>
      <c r="J1436" s="185">
        <f t="shared" si="149"/>
        <v>1035.33</v>
      </c>
      <c r="K1436" s="189">
        <f t="shared" si="148"/>
        <v>310.60000000000002</v>
      </c>
      <c r="L1436" s="189"/>
      <c r="M1436" s="138"/>
      <c r="N1436" s="138"/>
      <c r="O1436" s="138"/>
      <c r="S1436" s="72"/>
      <c r="T1436" s="72"/>
      <c r="U1436" s="72"/>
      <c r="V1436" s="72"/>
    </row>
    <row r="1437" spans="1:22" s="63" customFormat="1" ht="22.5" x14ac:dyDescent="0.25">
      <c r="A1437" s="84">
        <v>9.3469999999999995</v>
      </c>
      <c r="B1437" s="81" t="s">
        <v>51</v>
      </c>
      <c r="C1437" s="82">
        <v>134</v>
      </c>
      <c r="D1437" s="131" t="s">
        <v>1158</v>
      </c>
      <c r="E1437" s="83" t="s">
        <v>1159</v>
      </c>
      <c r="F1437" s="81" t="s">
        <v>207</v>
      </c>
      <c r="G1437" s="88">
        <v>5.5999999999999999E-3</v>
      </c>
      <c r="H1437" s="85"/>
      <c r="I1437" s="86">
        <v>961.27</v>
      </c>
      <c r="J1437" s="185">
        <f t="shared" si="149"/>
        <v>195446.79</v>
      </c>
      <c r="K1437" s="189">
        <f t="shared" si="148"/>
        <v>1094.5</v>
      </c>
      <c r="L1437" s="189"/>
      <c r="M1437" s="138"/>
      <c r="N1437" s="138"/>
      <c r="O1437" s="138"/>
      <c r="S1437" s="72"/>
      <c r="T1437" s="72"/>
      <c r="U1437" s="72"/>
      <c r="V1437" s="72"/>
    </row>
    <row r="1438" spans="1:22" s="63" customFormat="1" ht="22.5" x14ac:dyDescent="0.25">
      <c r="A1438" s="84">
        <v>9.3480000000000008</v>
      </c>
      <c r="B1438" s="81" t="s">
        <v>51</v>
      </c>
      <c r="C1438" s="80">
        <v>134.1</v>
      </c>
      <c r="D1438" s="131" t="s">
        <v>1160</v>
      </c>
      <c r="E1438" s="83" t="s">
        <v>1161</v>
      </c>
      <c r="F1438" s="81" t="s">
        <v>370</v>
      </c>
      <c r="G1438" s="87">
        <v>0.56000000000000005</v>
      </c>
      <c r="H1438" s="85"/>
      <c r="I1438" s="86">
        <v>648.33000000000004</v>
      </c>
      <c r="J1438" s="185">
        <f t="shared" si="149"/>
        <v>1318.19</v>
      </c>
      <c r="K1438" s="189">
        <f t="shared" si="148"/>
        <v>738.19</v>
      </c>
      <c r="L1438" s="189"/>
      <c r="M1438" s="138"/>
      <c r="N1438" s="138"/>
      <c r="O1438" s="138"/>
      <c r="S1438" s="72"/>
      <c r="T1438" s="72"/>
      <c r="U1438" s="72"/>
      <c r="V1438" s="72"/>
    </row>
    <row r="1439" spans="1:22" s="63" customFormat="1" ht="33.75" x14ac:dyDescent="0.25">
      <c r="A1439" s="84">
        <v>9.3490000000000002</v>
      </c>
      <c r="B1439" s="81" t="s">
        <v>51</v>
      </c>
      <c r="C1439" s="82">
        <v>135</v>
      </c>
      <c r="D1439" s="131" t="s">
        <v>1164</v>
      </c>
      <c r="E1439" s="83" t="s">
        <v>1196</v>
      </c>
      <c r="F1439" s="81" t="s">
        <v>207</v>
      </c>
      <c r="G1439" s="88">
        <v>0.14460000000000001</v>
      </c>
      <c r="H1439" s="85"/>
      <c r="I1439" s="86">
        <v>24831.87</v>
      </c>
      <c r="J1439" s="185">
        <f t="shared" si="149"/>
        <v>195529.51</v>
      </c>
      <c r="K1439" s="189">
        <f t="shared" si="148"/>
        <v>28273.57</v>
      </c>
      <c r="L1439" s="189"/>
      <c r="M1439" s="138"/>
      <c r="N1439" s="138"/>
      <c r="O1439" s="138"/>
      <c r="S1439" s="72"/>
      <c r="T1439" s="72"/>
      <c r="U1439" s="72"/>
      <c r="V1439" s="72"/>
    </row>
    <row r="1440" spans="1:22" s="63" customFormat="1" ht="33.75" x14ac:dyDescent="0.25">
      <c r="A1440" s="84">
        <v>9.35</v>
      </c>
      <c r="B1440" s="81" t="s">
        <v>51</v>
      </c>
      <c r="C1440" s="80">
        <v>135.1</v>
      </c>
      <c r="D1440" s="131" t="s">
        <v>1108</v>
      </c>
      <c r="E1440" s="83" t="s">
        <v>3615</v>
      </c>
      <c r="F1440" s="81" t="s">
        <v>370</v>
      </c>
      <c r="G1440" s="87">
        <v>14.46</v>
      </c>
      <c r="H1440" s="85"/>
      <c r="I1440" s="86">
        <v>18272.64</v>
      </c>
      <c r="J1440" s="185">
        <f t="shared" si="149"/>
        <v>1438.81</v>
      </c>
      <c r="K1440" s="189">
        <f t="shared" si="148"/>
        <v>20805.189999999999</v>
      </c>
      <c r="L1440" s="189"/>
      <c r="M1440" s="138"/>
      <c r="N1440" s="138"/>
      <c r="O1440" s="138"/>
      <c r="S1440" s="72"/>
      <c r="T1440" s="72"/>
      <c r="U1440" s="72"/>
      <c r="V1440" s="72"/>
    </row>
    <row r="1441" spans="1:22" s="63" customFormat="1" ht="22.5" x14ac:dyDescent="0.25">
      <c r="A1441" s="84">
        <v>9.3510000000000009</v>
      </c>
      <c r="B1441" s="81" t="s">
        <v>51</v>
      </c>
      <c r="C1441" s="82">
        <v>136</v>
      </c>
      <c r="D1441" s="131" t="s">
        <v>1173</v>
      </c>
      <c r="E1441" s="83" t="s">
        <v>1174</v>
      </c>
      <c r="F1441" s="81" t="s">
        <v>207</v>
      </c>
      <c r="G1441" s="88">
        <v>2.4199999999999999E-2</v>
      </c>
      <c r="H1441" s="85"/>
      <c r="I1441" s="86">
        <v>4538.92</v>
      </c>
      <c r="J1441" s="185">
        <f t="shared" si="149"/>
        <v>213554.31</v>
      </c>
      <c r="K1441" s="189">
        <f t="shared" si="148"/>
        <v>5168.01</v>
      </c>
      <c r="L1441" s="189"/>
      <c r="M1441" s="138"/>
      <c r="N1441" s="138"/>
      <c r="O1441" s="138"/>
      <c r="S1441" s="72"/>
      <c r="T1441" s="72"/>
      <c r="U1441" s="72"/>
      <c r="V1441" s="72"/>
    </row>
    <row r="1442" spans="1:22" s="63" customFormat="1" ht="22.5" x14ac:dyDescent="0.25">
      <c r="A1442" s="84">
        <v>9.3520000000000003</v>
      </c>
      <c r="B1442" s="81" t="s">
        <v>51</v>
      </c>
      <c r="C1442" s="80">
        <v>136.1</v>
      </c>
      <c r="D1442" s="131" t="s">
        <v>1175</v>
      </c>
      <c r="E1442" s="83" t="s">
        <v>1176</v>
      </c>
      <c r="F1442" s="81" t="s">
        <v>370</v>
      </c>
      <c r="G1442" s="87">
        <v>1.01</v>
      </c>
      <c r="H1442" s="85"/>
      <c r="I1442" s="86">
        <v>863.58</v>
      </c>
      <c r="J1442" s="185">
        <f t="shared" si="149"/>
        <v>973.54</v>
      </c>
      <c r="K1442" s="189">
        <f t="shared" si="148"/>
        <v>983.28</v>
      </c>
      <c r="L1442" s="189"/>
      <c r="M1442" s="138"/>
      <c r="N1442" s="138"/>
      <c r="O1442" s="138"/>
      <c r="S1442" s="72"/>
      <c r="T1442" s="72"/>
      <c r="U1442" s="72"/>
      <c r="V1442" s="72"/>
    </row>
    <row r="1443" spans="1:22" s="63" customFormat="1" ht="22.5" x14ac:dyDescent="0.25">
      <c r="A1443" s="84">
        <v>9.3529999999999998</v>
      </c>
      <c r="B1443" s="81" t="s">
        <v>51</v>
      </c>
      <c r="C1443" s="80">
        <v>136.19999999999999</v>
      </c>
      <c r="D1443" s="131" t="s">
        <v>1177</v>
      </c>
      <c r="E1443" s="83" t="s">
        <v>1178</v>
      </c>
      <c r="F1443" s="81" t="s">
        <v>370</v>
      </c>
      <c r="G1443" s="80">
        <v>0.3</v>
      </c>
      <c r="H1443" s="85"/>
      <c r="I1443" s="86">
        <v>656.05</v>
      </c>
      <c r="J1443" s="185">
        <f t="shared" si="149"/>
        <v>2489.9299999999998</v>
      </c>
      <c r="K1443" s="189">
        <f t="shared" si="148"/>
        <v>746.98</v>
      </c>
      <c r="L1443" s="189"/>
      <c r="M1443" s="138"/>
      <c r="N1443" s="138"/>
      <c r="O1443" s="138"/>
      <c r="S1443" s="72"/>
      <c r="T1443" s="72"/>
      <c r="U1443" s="72"/>
      <c r="V1443" s="72"/>
    </row>
    <row r="1444" spans="1:22" s="63" customFormat="1" ht="22.5" x14ac:dyDescent="0.25">
      <c r="A1444" s="84">
        <v>9.3539999999999992</v>
      </c>
      <c r="B1444" s="81" t="s">
        <v>51</v>
      </c>
      <c r="C1444" s="80">
        <v>136.30000000000001</v>
      </c>
      <c r="D1444" s="131" t="s">
        <v>1179</v>
      </c>
      <c r="E1444" s="83" t="s">
        <v>1180</v>
      </c>
      <c r="F1444" s="81" t="s">
        <v>370</v>
      </c>
      <c r="G1444" s="87">
        <v>1.1100000000000001</v>
      </c>
      <c r="H1444" s="85"/>
      <c r="I1444" s="86">
        <v>2290.6</v>
      </c>
      <c r="J1444" s="185">
        <f t="shared" si="149"/>
        <v>2349.62</v>
      </c>
      <c r="K1444" s="189">
        <f t="shared" si="148"/>
        <v>2608.08</v>
      </c>
      <c r="L1444" s="189"/>
      <c r="M1444" s="138"/>
      <c r="N1444" s="138"/>
      <c r="O1444" s="138"/>
      <c r="S1444" s="72"/>
      <c r="T1444" s="72"/>
      <c r="U1444" s="72"/>
      <c r="V1444" s="72"/>
    </row>
    <row r="1445" spans="1:22" s="63" customFormat="1" ht="22.5" x14ac:dyDescent="0.25">
      <c r="A1445" s="84">
        <v>9.3550000000000004</v>
      </c>
      <c r="B1445" s="81" t="s">
        <v>51</v>
      </c>
      <c r="C1445" s="82">
        <v>137</v>
      </c>
      <c r="D1445" s="131" t="s">
        <v>1194</v>
      </c>
      <c r="E1445" s="83" t="s">
        <v>1198</v>
      </c>
      <c r="F1445" s="81" t="s">
        <v>207</v>
      </c>
      <c r="G1445" s="88">
        <v>1.34E-2</v>
      </c>
      <c r="H1445" s="85"/>
      <c r="I1445" s="86">
        <v>1526.35</v>
      </c>
      <c r="J1445" s="185">
        <f t="shared" si="149"/>
        <v>129694.19</v>
      </c>
      <c r="K1445" s="189">
        <f t="shared" si="148"/>
        <v>1737.9</v>
      </c>
      <c r="L1445" s="189"/>
      <c r="M1445" s="138"/>
      <c r="N1445" s="138"/>
      <c r="O1445" s="138"/>
      <c r="S1445" s="72"/>
      <c r="T1445" s="72"/>
      <c r="U1445" s="72"/>
      <c r="V1445" s="72"/>
    </row>
    <row r="1446" spans="1:22" s="63" customFormat="1" ht="33.75" x14ac:dyDescent="0.25">
      <c r="A1446" s="84">
        <v>9.3559999999999999</v>
      </c>
      <c r="B1446" s="81" t="s">
        <v>51</v>
      </c>
      <c r="C1446" s="80">
        <v>137.1</v>
      </c>
      <c r="D1446" s="131" t="s">
        <v>1108</v>
      </c>
      <c r="E1446" s="83" t="s">
        <v>3616</v>
      </c>
      <c r="F1446" s="81" t="s">
        <v>370</v>
      </c>
      <c r="G1446" s="87">
        <v>1.34</v>
      </c>
      <c r="H1446" s="85"/>
      <c r="I1446" s="86">
        <v>1693.33</v>
      </c>
      <c r="J1446" s="185">
        <f t="shared" si="149"/>
        <v>1438.83</v>
      </c>
      <c r="K1446" s="189">
        <f t="shared" si="148"/>
        <v>1928.03</v>
      </c>
      <c r="L1446" s="189"/>
      <c r="M1446" s="138"/>
      <c r="N1446" s="138"/>
      <c r="O1446" s="138"/>
      <c r="S1446" s="72"/>
      <c r="T1446" s="72"/>
      <c r="U1446" s="72"/>
      <c r="V1446" s="72"/>
    </row>
    <row r="1447" spans="1:22" s="63" customFormat="1" ht="33.75" x14ac:dyDescent="0.25">
      <c r="A1447" s="84">
        <v>9.3569999999999993</v>
      </c>
      <c r="B1447" s="81" t="s">
        <v>51</v>
      </c>
      <c r="C1447" s="80">
        <v>137.19999999999999</v>
      </c>
      <c r="D1447" s="131" t="s">
        <v>1116</v>
      </c>
      <c r="E1447" s="83" t="s">
        <v>1117</v>
      </c>
      <c r="F1447" s="81" t="s">
        <v>226</v>
      </c>
      <c r="G1447" s="84">
        <v>3.2000000000000001E-2</v>
      </c>
      <c r="H1447" s="85"/>
      <c r="I1447" s="86">
        <v>3602.26</v>
      </c>
      <c r="J1447" s="185">
        <f t="shared" si="149"/>
        <v>128172.91</v>
      </c>
      <c r="K1447" s="189">
        <f t="shared" si="148"/>
        <v>4101.53</v>
      </c>
      <c r="L1447" s="189"/>
      <c r="M1447" s="138"/>
      <c r="N1447" s="138"/>
      <c r="O1447" s="138"/>
      <c r="S1447" s="72"/>
      <c r="T1447" s="72"/>
      <c r="U1447" s="72"/>
      <c r="V1447" s="72"/>
    </row>
    <row r="1448" spans="1:22" s="63" customFormat="1" ht="22.5" x14ac:dyDescent="0.25">
      <c r="A1448" s="84">
        <v>9.3580000000000005</v>
      </c>
      <c r="B1448" s="81" t="s">
        <v>51</v>
      </c>
      <c r="C1448" s="82">
        <v>138</v>
      </c>
      <c r="D1448" s="131" t="s">
        <v>1118</v>
      </c>
      <c r="E1448" s="83" t="s">
        <v>1119</v>
      </c>
      <c r="F1448" s="81" t="s">
        <v>219</v>
      </c>
      <c r="G1448" s="82">
        <v>4</v>
      </c>
      <c r="H1448" s="85"/>
      <c r="I1448" s="86">
        <v>10005.19</v>
      </c>
      <c r="J1448" s="185">
        <f t="shared" si="149"/>
        <v>2847.98</v>
      </c>
      <c r="K1448" s="189">
        <f t="shared" si="148"/>
        <v>11391.92</v>
      </c>
      <c r="L1448" s="189"/>
      <c r="M1448" s="138"/>
      <c r="N1448" s="138"/>
      <c r="O1448" s="138"/>
      <c r="S1448" s="72"/>
      <c r="T1448" s="72"/>
      <c r="U1448" s="72"/>
      <c r="V1448" s="72"/>
    </row>
    <row r="1449" spans="1:22" s="63" customFormat="1" ht="22.5" x14ac:dyDescent="0.25">
      <c r="A1449" s="84">
        <v>9.359</v>
      </c>
      <c r="B1449" s="81" t="s">
        <v>51</v>
      </c>
      <c r="C1449" s="80">
        <v>138.1</v>
      </c>
      <c r="D1449" s="131" t="s">
        <v>1120</v>
      </c>
      <c r="E1449" s="83" t="s">
        <v>1121</v>
      </c>
      <c r="F1449" s="81" t="s">
        <v>219</v>
      </c>
      <c r="G1449" s="82">
        <v>4</v>
      </c>
      <c r="H1449" s="85"/>
      <c r="I1449" s="86">
        <v>4521.34</v>
      </c>
      <c r="J1449" s="185">
        <f t="shared" si="149"/>
        <v>1287</v>
      </c>
      <c r="K1449" s="189">
        <f t="shared" si="148"/>
        <v>5148</v>
      </c>
      <c r="L1449" s="189"/>
      <c r="M1449" s="138"/>
      <c r="N1449" s="138"/>
      <c r="O1449" s="138"/>
      <c r="S1449" s="72"/>
      <c r="T1449" s="72"/>
      <c r="U1449" s="72"/>
      <c r="V1449" s="72"/>
    </row>
    <row r="1450" spans="1:22" s="63" customFormat="1" ht="15" x14ac:dyDescent="0.25">
      <c r="A1450" s="84">
        <v>9.36</v>
      </c>
      <c r="B1450" s="81" t="s">
        <v>51</v>
      </c>
      <c r="C1450" s="82">
        <v>139</v>
      </c>
      <c r="D1450" s="131" t="s">
        <v>1124</v>
      </c>
      <c r="E1450" s="83" t="s">
        <v>1125</v>
      </c>
      <c r="F1450" s="81" t="s">
        <v>219</v>
      </c>
      <c r="G1450" s="82">
        <v>4</v>
      </c>
      <c r="H1450" s="85"/>
      <c r="I1450" s="86">
        <v>32037.07</v>
      </c>
      <c r="J1450" s="185">
        <f t="shared" si="149"/>
        <v>9119.35</v>
      </c>
      <c r="K1450" s="189">
        <f t="shared" si="148"/>
        <v>36477.4</v>
      </c>
      <c r="L1450" s="189"/>
      <c r="M1450" s="138"/>
      <c r="N1450" s="138"/>
      <c r="O1450" s="138"/>
      <c r="S1450" s="72"/>
      <c r="T1450" s="72"/>
      <c r="U1450" s="72"/>
      <c r="V1450" s="72"/>
    </row>
    <row r="1451" spans="1:22" s="63" customFormat="1" ht="22.5" x14ac:dyDescent="0.25">
      <c r="A1451" s="84">
        <v>9.3610000000000007</v>
      </c>
      <c r="B1451" s="81" t="s">
        <v>51</v>
      </c>
      <c r="C1451" s="80">
        <v>139.1</v>
      </c>
      <c r="D1451" s="131" t="s">
        <v>1071</v>
      </c>
      <c r="E1451" s="83" t="s">
        <v>1072</v>
      </c>
      <c r="F1451" s="81" t="s">
        <v>226</v>
      </c>
      <c r="G1451" s="89">
        <v>6.1599999999999997E-3</v>
      </c>
      <c r="H1451" s="85"/>
      <c r="I1451" s="86">
        <v>821.58</v>
      </c>
      <c r="J1451" s="185">
        <f t="shared" si="149"/>
        <v>151858.93</v>
      </c>
      <c r="K1451" s="189">
        <f t="shared" si="148"/>
        <v>935.45</v>
      </c>
      <c r="L1451" s="189"/>
      <c r="M1451" s="138"/>
      <c r="N1451" s="138"/>
      <c r="O1451" s="138"/>
      <c r="S1451" s="72"/>
      <c r="T1451" s="72"/>
      <c r="U1451" s="72"/>
      <c r="V1451" s="72"/>
    </row>
    <row r="1452" spans="1:22" s="63" customFormat="1" ht="22.5" x14ac:dyDescent="0.25">
      <c r="A1452" s="84">
        <v>9.3620000000000001</v>
      </c>
      <c r="B1452" s="81" t="s">
        <v>51</v>
      </c>
      <c r="C1452" s="80">
        <v>139.19999999999999</v>
      </c>
      <c r="D1452" s="131" t="s">
        <v>1183</v>
      </c>
      <c r="E1452" s="83" t="s">
        <v>3579</v>
      </c>
      <c r="F1452" s="81" t="s">
        <v>219</v>
      </c>
      <c r="G1452" s="82">
        <v>1</v>
      </c>
      <c r="H1452" s="85"/>
      <c r="I1452" s="86">
        <v>1669.97</v>
      </c>
      <c r="J1452" s="185">
        <f t="shared" si="149"/>
        <v>1901.43</v>
      </c>
      <c r="K1452" s="189">
        <f t="shared" si="148"/>
        <v>1901.43</v>
      </c>
      <c r="L1452" s="189"/>
      <c r="M1452" s="138"/>
      <c r="N1452" s="138"/>
      <c r="O1452" s="138"/>
      <c r="S1452" s="72"/>
      <c r="T1452" s="72"/>
      <c r="U1452" s="72"/>
      <c r="V1452" s="72"/>
    </row>
    <row r="1453" spans="1:22" s="63" customFormat="1" ht="22.5" x14ac:dyDescent="0.25">
      <c r="A1453" s="84">
        <v>9.3629999999999995</v>
      </c>
      <c r="B1453" s="81" t="s">
        <v>51</v>
      </c>
      <c r="C1453" s="80">
        <v>139.30000000000001</v>
      </c>
      <c r="D1453" s="131" t="s">
        <v>1184</v>
      </c>
      <c r="E1453" s="83" t="s">
        <v>3580</v>
      </c>
      <c r="F1453" s="81" t="s">
        <v>219</v>
      </c>
      <c r="G1453" s="82">
        <v>3</v>
      </c>
      <c r="H1453" s="85"/>
      <c r="I1453" s="86">
        <v>5361.03</v>
      </c>
      <c r="J1453" s="185">
        <f t="shared" si="149"/>
        <v>2034.69</v>
      </c>
      <c r="K1453" s="189">
        <f t="shared" si="148"/>
        <v>6104.07</v>
      </c>
      <c r="L1453" s="189"/>
      <c r="M1453" s="138"/>
      <c r="N1453" s="138"/>
      <c r="O1453" s="138"/>
      <c r="S1453" s="72"/>
      <c r="T1453" s="72"/>
      <c r="U1453" s="72"/>
      <c r="V1453" s="72"/>
    </row>
    <row r="1454" spans="1:22" s="63" customFormat="1" ht="15" x14ac:dyDescent="0.25">
      <c r="A1454" s="84">
        <v>9.3640000000000008</v>
      </c>
      <c r="B1454" s="81" t="s">
        <v>51</v>
      </c>
      <c r="C1454" s="82">
        <v>140</v>
      </c>
      <c r="D1454" s="131" t="s">
        <v>1127</v>
      </c>
      <c r="E1454" s="83" t="s">
        <v>1128</v>
      </c>
      <c r="F1454" s="81" t="s">
        <v>219</v>
      </c>
      <c r="G1454" s="82">
        <v>1</v>
      </c>
      <c r="H1454" s="85"/>
      <c r="I1454" s="86">
        <v>1664.09</v>
      </c>
      <c r="J1454" s="185">
        <f t="shared" si="149"/>
        <v>1894.73</v>
      </c>
      <c r="K1454" s="189">
        <f t="shared" si="148"/>
        <v>1894.73</v>
      </c>
      <c r="L1454" s="189"/>
      <c r="M1454" s="138"/>
      <c r="N1454" s="138"/>
      <c r="O1454" s="138"/>
      <c r="S1454" s="72"/>
      <c r="T1454" s="72"/>
      <c r="U1454" s="72"/>
      <c r="V1454" s="72"/>
    </row>
    <row r="1455" spans="1:22" s="63" customFormat="1" ht="22.5" x14ac:dyDescent="0.25">
      <c r="A1455" s="84">
        <v>9.3650000000000002</v>
      </c>
      <c r="B1455" s="81" t="s">
        <v>51</v>
      </c>
      <c r="C1455" s="80">
        <v>140.1</v>
      </c>
      <c r="D1455" s="131" t="s">
        <v>1201</v>
      </c>
      <c r="E1455" s="83" t="s">
        <v>1202</v>
      </c>
      <c r="F1455" s="81" t="s">
        <v>219</v>
      </c>
      <c r="G1455" s="82">
        <v>1</v>
      </c>
      <c r="H1455" s="85"/>
      <c r="I1455" s="86">
        <v>665.29</v>
      </c>
      <c r="J1455" s="185">
        <f t="shared" si="149"/>
        <v>757.5</v>
      </c>
      <c r="K1455" s="189">
        <f t="shared" si="148"/>
        <v>757.5</v>
      </c>
      <c r="L1455" s="189"/>
      <c r="M1455" s="138"/>
      <c r="N1455" s="138"/>
      <c r="O1455" s="138"/>
      <c r="S1455" s="72"/>
      <c r="T1455" s="72"/>
      <c r="U1455" s="72"/>
      <c r="V1455" s="72"/>
    </row>
    <row r="1456" spans="1:22" s="63" customFormat="1" ht="22.5" x14ac:dyDescent="0.25">
      <c r="A1456" s="84">
        <v>9.3659999999999997</v>
      </c>
      <c r="B1456" s="81" t="s">
        <v>51</v>
      </c>
      <c r="C1456" s="82">
        <v>141</v>
      </c>
      <c r="D1456" s="131" t="s">
        <v>1205</v>
      </c>
      <c r="E1456" s="83" t="s">
        <v>1206</v>
      </c>
      <c r="F1456" s="81" t="s">
        <v>219</v>
      </c>
      <c r="G1456" s="82">
        <v>1</v>
      </c>
      <c r="H1456" s="85"/>
      <c r="I1456" s="86">
        <v>1523.85</v>
      </c>
      <c r="J1456" s="185">
        <f t="shared" si="149"/>
        <v>1735.06</v>
      </c>
      <c r="K1456" s="189">
        <f t="shared" si="148"/>
        <v>1735.06</v>
      </c>
      <c r="L1456" s="189"/>
      <c r="M1456" s="138"/>
      <c r="N1456" s="138"/>
      <c r="O1456" s="138"/>
      <c r="S1456" s="72"/>
      <c r="T1456" s="72"/>
      <c r="U1456" s="72"/>
      <c r="V1456" s="72"/>
    </row>
    <row r="1457" spans="1:22" s="63" customFormat="1" ht="22.5" x14ac:dyDescent="0.25">
      <c r="A1457" s="84">
        <v>9.3670000000000009</v>
      </c>
      <c r="B1457" s="81" t="s">
        <v>51</v>
      </c>
      <c r="C1457" s="80">
        <v>141.1</v>
      </c>
      <c r="D1457" s="131" t="s">
        <v>1133</v>
      </c>
      <c r="E1457" s="83" t="s">
        <v>1134</v>
      </c>
      <c r="F1457" s="81" t="s">
        <v>219</v>
      </c>
      <c r="G1457" s="82">
        <v>1</v>
      </c>
      <c r="H1457" s="85"/>
      <c r="I1457" s="86">
        <v>3783.95</v>
      </c>
      <c r="J1457" s="185">
        <f t="shared" si="149"/>
        <v>4308.41</v>
      </c>
      <c r="K1457" s="189">
        <f t="shared" si="148"/>
        <v>4308.41</v>
      </c>
      <c r="L1457" s="189"/>
      <c r="M1457" s="138"/>
      <c r="N1457" s="138"/>
      <c r="O1457" s="138"/>
      <c r="S1457" s="72"/>
      <c r="T1457" s="72"/>
      <c r="U1457" s="72"/>
      <c r="V1457" s="72"/>
    </row>
    <row r="1458" spans="1:22" s="63" customFormat="1" ht="22.5" x14ac:dyDescent="0.25">
      <c r="A1458" s="84">
        <v>9.3680000000000003</v>
      </c>
      <c r="B1458" s="81" t="s">
        <v>51</v>
      </c>
      <c r="C1458" s="82">
        <v>142</v>
      </c>
      <c r="D1458" s="131" t="s">
        <v>1143</v>
      </c>
      <c r="E1458" s="83" t="s">
        <v>1144</v>
      </c>
      <c r="F1458" s="81" t="s">
        <v>219</v>
      </c>
      <c r="G1458" s="82">
        <v>1</v>
      </c>
      <c r="H1458" s="85"/>
      <c r="I1458" s="86">
        <v>1524.27</v>
      </c>
      <c r="J1458" s="185">
        <f t="shared" si="149"/>
        <v>1735.53</v>
      </c>
      <c r="K1458" s="189">
        <f t="shared" si="148"/>
        <v>1735.53</v>
      </c>
      <c r="L1458" s="189"/>
      <c r="M1458" s="138"/>
      <c r="N1458" s="138"/>
      <c r="O1458" s="138"/>
      <c r="S1458" s="72"/>
      <c r="T1458" s="72"/>
      <c r="U1458" s="72"/>
      <c r="V1458" s="72"/>
    </row>
    <row r="1459" spans="1:22" s="63" customFormat="1" ht="22.5" x14ac:dyDescent="0.25">
      <c r="A1459" s="108">
        <v>9.3689999999999998</v>
      </c>
      <c r="B1459" s="102" t="s">
        <v>51</v>
      </c>
      <c r="C1459" s="103">
        <v>142.1</v>
      </c>
      <c r="D1459" s="167" t="s">
        <v>1208</v>
      </c>
      <c r="E1459" s="104" t="s">
        <v>1209</v>
      </c>
      <c r="F1459" s="102" t="s">
        <v>219</v>
      </c>
      <c r="G1459" s="105">
        <v>1</v>
      </c>
      <c r="H1459" s="106"/>
      <c r="I1459" s="107">
        <v>12494.85</v>
      </c>
      <c r="J1459" s="192">
        <f>ROUND($I1459/$G1459*$N$12,2)</f>
        <v>13975.49</v>
      </c>
      <c r="K1459" s="193">
        <f t="shared" si="148"/>
        <v>13975.49</v>
      </c>
      <c r="L1459" s="193"/>
      <c r="M1459" s="138"/>
      <c r="N1459" s="138"/>
      <c r="O1459" s="138"/>
      <c r="S1459" s="72"/>
      <c r="T1459" s="72"/>
      <c r="U1459" s="72"/>
      <c r="V1459" s="72"/>
    </row>
    <row r="1460" spans="1:22" s="63" customFormat="1" ht="22.5" x14ac:dyDescent="0.25">
      <c r="A1460" s="84">
        <v>9.3699999999999992</v>
      </c>
      <c r="B1460" s="81" t="s">
        <v>51</v>
      </c>
      <c r="C1460" s="82">
        <v>143</v>
      </c>
      <c r="D1460" s="131" t="s">
        <v>1186</v>
      </c>
      <c r="E1460" s="83" t="s">
        <v>1187</v>
      </c>
      <c r="F1460" s="81" t="s">
        <v>219</v>
      </c>
      <c r="G1460" s="82">
        <v>4</v>
      </c>
      <c r="H1460" s="85"/>
      <c r="I1460" s="86">
        <v>18719.310000000001</v>
      </c>
      <c r="J1460" s="185">
        <f>ROUND($I1460/$G1460*$N$11,2)</f>
        <v>5328.45</v>
      </c>
      <c r="K1460" s="189">
        <f t="shared" si="148"/>
        <v>21313.8</v>
      </c>
      <c r="L1460" s="189"/>
      <c r="M1460" s="138"/>
      <c r="N1460" s="138"/>
      <c r="O1460" s="138"/>
      <c r="S1460" s="72"/>
      <c r="T1460" s="72"/>
      <c r="U1460" s="72"/>
      <c r="V1460" s="72"/>
    </row>
    <row r="1461" spans="1:22" s="63" customFormat="1" ht="22.5" x14ac:dyDescent="0.25">
      <c r="A1461" s="84">
        <v>9.3710000000000004</v>
      </c>
      <c r="B1461" s="81" t="s">
        <v>51</v>
      </c>
      <c r="C1461" s="80">
        <v>143.1</v>
      </c>
      <c r="D1461" s="131" t="s">
        <v>1137</v>
      </c>
      <c r="E1461" s="83" t="s">
        <v>1138</v>
      </c>
      <c r="F1461" s="81" t="s">
        <v>334</v>
      </c>
      <c r="G1461" s="80">
        <v>37.200000000000003</v>
      </c>
      <c r="H1461" s="85"/>
      <c r="I1461" s="86">
        <v>3973.98</v>
      </c>
      <c r="J1461" s="185">
        <f>ROUND($I1461/$G1461*$N$11,2)</f>
        <v>121.63</v>
      </c>
      <c r="K1461" s="189">
        <f t="shared" si="148"/>
        <v>4524.6400000000003</v>
      </c>
      <c r="L1461" s="189"/>
      <c r="M1461" s="138"/>
      <c r="N1461" s="138"/>
      <c r="O1461" s="138"/>
      <c r="S1461" s="72"/>
      <c r="T1461" s="72"/>
      <c r="U1461" s="72"/>
      <c r="V1461" s="72"/>
    </row>
    <row r="1462" spans="1:22" s="63" customFormat="1" ht="22.5" x14ac:dyDescent="0.25">
      <c r="A1462" s="84">
        <v>9.3719999999999999</v>
      </c>
      <c r="B1462" s="81" t="s">
        <v>51</v>
      </c>
      <c r="C1462" s="80">
        <v>143.19999999999999</v>
      </c>
      <c r="D1462" s="131" t="s">
        <v>1139</v>
      </c>
      <c r="E1462" s="83" t="s">
        <v>1140</v>
      </c>
      <c r="F1462" s="81" t="s">
        <v>566</v>
      </c>
      <c r="G1462" s="80">
        <v>0.8</v>
      </c>
      <c r="H1462" s="85"/>
      <c r="I1462" s="86">
        <v>1677.96</v>
      </c>
      <c r="J1462" s="185">
        <f>ROUND($I1462/$G1462*$N$11,2)</f>
        <v>2388.16</v>
      </c>
      <c r="K1462" s="189">
        <f t="shared" si="148"/>
        <v>1910.53</v>
      </c>
      <c r="L1462" s="189"/>
      <c r="M1462" s="138"/>
      <c r="N1462" s="138"/>
      <c r="O1462" s="138"/>
      <c r="S1462" s="72"/>
      <c r="T1462" s="72"/>
      <c r="U1462" s="72"/>
      <c r="V1462" s="72"/>
    </row>
    <row r="1463" spans="1:22" s="63" customFormat="1" ht="22.5" x14ac:dyDescent="0.25">
      <c r="A1463" s="108">
        <v>9.3729999999999993</v>
      </c>
      <c r="B1463" s="102" t="s">
        <v>51</v>
      </c>
      <c r="C1463" s="103">
        <v>143.30000000000001</v>
      </c>
      <c r="D1463" s="167" t="s">
        <v>1262</v>
      </c>
      <c r="E1463" s="104" t="s">
        <v>1263</v>
      </c>
      <c r="F1463" s="102" t="s">
        <v>219</v>
      </c>
      <c r="G1463" s="105">
        <v>1</v>
      </c>
      <c r="H1463" s="106"/>
      <c r="I1463" s="107">
        <v>12807.56</v>
      </c>
      <c r="J1463" s="192">
        <f>ROUND($I1463/$G1463*$N$12,2)</f>
        <v>14325.26</v>
      </c>
      <c r="K1463" s="193">
        <f t="shared" si="148"/>
        <v>14325.26</v>
      </c>
      <c r="L1463" s="193"/>
      <c r="M1463" s="138"/>
      <c r="N1463" s="138"/>
      <c r="O1463" s="138"/>
      <c r="S1463" s="72"/>
      <c r="T1463" s="72"/>
      <c r="U1463" s="72"/>
      <c r="V1463" s="72"/>
    </row>
    <row r="1464" spans="1:22" s="63" customFormat="1" ht="22.5" x14ac:dyDescent="0.25">
      <c r="A1464" s="84">
        <v>9.3740000000000006</v>
      </c>
      <c r="B1464" s="81" t="s">
        <v>51</v>
      </c>
      <c r="C1464" s="80">
        <v>143.4</v>
      </c>
      <c r="D1464" s="131" t="s">
        <v>1210</v>
      </c>
      <c r="E1464" s="83" t="s">
        <v>3594</v>
      </c>
      <c r="F1464" s="81" t="s">
        <v>219</v>
      </c>
      <c r="G1464" s="82">
        <v>1</v>
      </c>
      <c r="H1464" s="85"/>
      <c r="I1464" s="86">
        <v>11612.29</v>
      </c>
      <c r="J1464" s="185">
        <f>ROUND($I1464/$G1464*$N$11,2)</f>
        <v>13221.75</v>
      </c>
      <c r="K1464" s="189">
        <f t="shared" si="148"/>
        <v>13221.75</v>
      </c>
      <c r="L1464" s="189"/>
      <c r="M1464" s="138"/>
      <c r="N1464" s="138"/>
      <c r="O1464" s="138"/>
      <c r="S1464" s="72"/>
      <c r="T1464" s="72"/>
      <c r="U1464" s="72"/>
      <c r="V1464" s="72"/>
    </row>
    <row r="1465" spans="1:22" s="63" customFormat="1" ht="22.5" x14ac:dyDescent="0.25">
      <c r="A1465" s="108">
        <v>9.375</v>
      </c>
      <c r="B1465" s="102" t="s">
        <v>51</v>
      </c>
      <c r="C1465" s="103">
        <v>143.5</v>
      </c>
      <c r="D1465" s="167" t="s">
        <v>1211</v>
      </c>
      <c r="E1465" s="104" t="s">
        <v>1212</v>
      </c>
      <c r="F1465" s="102" t="s">
        <v>219</v>
      </c>
      <c r="G1465" s="105">
        <v>1</v>
      </c>
      <c r="H1465" s="106"/>
      <c r="I1465" s="107">
        <v>12982.65</v>
      </c>
      <c r="J1465" s="192">
        <f>ROUND($I1465/$G1465*$N$12,2)</f>
        <v>14521.09</v>
      </c>
      <c r="K1465" s="193">
        <f t="shared" si="148"/>
        <v>14521.09</v>
      </c>
      <c r="L1465" s="193"/>
      <c r="M1465" s="138"/>
      <c r="N1465" s="138"/>
      <c r="O1465" s="138"/>
      <c r="S1465" s="72"/>
      <c r="T1465" s="72"/>
      <c r="U1465" s="72"/>
      <c r="V1465" s="72"/>
    </row>
    <row r="1466" spans="1:22" s="63" customFormat="1" ht="22.5" x14ac:dyDescent="0.25">
      <c r="A1466" s="84">
        <v>9.3759999999999994</v>
      </c>
      <c r="B1466" s="81" t="s">
        <v>51</v>
      </c>
      <c r="C1466" s="80">
        <v>143.6</v>
      </c>
      <c r="D1466" s="131" t="s">
        <v>1264</v>
      </c>
      <c r="E1466" s="83" t="s">
        <v>3617</v>
      </c>
      <c r="F1466" s="81" t="s">
        <v>219</v>
      </c>
      <c r="G1466" s="82">
        <v>1</v>
      </c>
      <c r="H1466" s="85"/>
      <c r="I1466" s="86">
        <v>11767.6</v>
      </c>
      <c r="J1466" s="185">
        <f>ROUND($I1466/$G1466*$N$11,2)</f>
        <v>13398.59</v>
      </c>
      <c r="K1466" s="189">
        <f t="shared" si="148"/>
        <v>13398.59</v>
      </c>
      <c r="L1466" s="189"/>
      <c r="M1466" s="138"/>
      <c r="N1466" s="138"/>
      <c r="O1466" s="138"/>
      <c r="S1466" s="72"/>
      <c r="T1466" s="72"/>
      <c r="U1466" s="72"/>
      <c r="V1466" s="72"/>
    </row>
    <row r="1467" spans="1:22" s="63" customFormat="1" ht="22.5" x14ac:dyDescent="0.25">
      <c r="A1467" s="84">
        <v>9.3770000000000007</v>
      </c>
      <c r="B1467" s="81" t="s">
        <v>51</v>
      </c>
      <c r="C1467" s="82">
        <v>144</v>
      </c>
      <c r="D1467" s="131" t="s">
        <v>1151</v>
      </c>
      <c r="E1467" s="83" t="s">
        <v>1152</v>
      </c>
      <c r="F1467" s="81" t="s">
        <v>205</v>
      </c>
      <c r="G1467" s="87">
        <v>0.69</v>
      </c>
      <c r="H1467" s="85"/>
      <c r="I1467" s="86">
        <v>17667.2</v>
      </c>
      <c r="J1467" s="185">
        <f>ROUND($I1467/$G1467*$N$11,2)</f>
        <v>29153.439999999999</v>
      </c>
      <c r="K1467" s="189">
        <f t="shared" si="148"/>
        <v>20115.87</v>
      </c>
      <c r="L1467" s="189"/>
      <c r="M1467" s="138"/>
      <c r="N1467" s="138"/>
      <c r="O1467" s="138"/>
      <c r="S1467" s="72"/>
      <c r="T1467" s="72"/>
      <c r="U1467" s="72"/>
      <c r="V1467" s="72"/>
    </row>
    <row r="1468" spans="1:22" s="63" customFormat="1" ht="22.5" x14ac:dyDescent="0.25">
      <c r="A1468" s="84">
        <v>9.3780000000000001</v>
      </c>
      <c r="B1468" s="81" t="s">
        <v>51</v>
      </c>
      <c r="C1468" s="80">
        <v>144.1</v>
      </c>
      <c r="D1468" s="131" t="s">
        <v>1153</v>
      </c>
      <c r="E1468" s="83" t="s">
        <v>3573</v>
      </c>
      <c r="F1468" s="81" t="s">
        <v>370</v>
      </c>
      <c r="G1468" s="87">
        <v>24.15</v>
      </c>
      <c r="H1468" s="85"/>
      <c r="I1468" s="86">
        <v>8554.1</v>
      </c>
      <c r="J1468" s="185">
        <f>ROUND($I1468/$G1468*$N$11,2)</f>
        <v>403.3</v>
      </c>
      <c r="K1468" s="189">
        <f t="shared" si="148"/>
        <v>9739.7000000000007</v>
      </c>
      <c r="L1468" s="189"/>
      <c r="M1468" s="138"/>
      <c r="N1468" s="138"/>
      <c r="O1468" s="138"/>
      <c r="S1468" s="72"/>
      <c r="T1468" s="72"/>
      <c r="U1468" s="72"/>
      <c r="V1468" s="72"/>
    </row>
    <row r="1469" spans="1:22" s="128" customFormat="1" ht="12.75" x14ac:dyDescent="0.25">
      <c r="A1469" s="242"/>
      <c r="B1469" s="125"/>
      <c r="C1469" s="236"/>
      <c r="D1469" s="77"/>
      <c r="E1469" s="126" t="s">
        <v>3302</v>
      </c>
      <c r="F1469" s="125"/>
      <c r="G1469" s="237"/>
      <c r="H1469" s="127"/>
      <c r="I1469" s="78"/>
      <c r="J1469" s="238"/>
      <c r="K1469" s="239"/>
      <c r="L1469" s="239"/>
      <c r="M1469" s="79"/>
      <c r="N1469" s="79"/>
      <c r="O1469" s="79"/>
      <c r="S1469" s="129"/>
      <c r="T1469" s="129"/>
      <c r="U1469" s="129"/>
      <c r="V1469" s="129"/>
    </row>
    <row r="1470" spans="1:22" s="63" customFormat="1" ht="15" x14ac:dyDescent="0.25">
      <c r="A1470" s="84">
        <v>9.3789999999999996</v>
      </c>
      <c r="B1470" s="81" t="s">
        <v>51</v>
      </c>
      <c r="C1470" s="82">
        <v>145</v>
      </c>
      <c r="D1470" s="131" t="s">
        <v>1265</v>
      </c>
      <c r="E1470" s="83" t="s">
        <v>1266</v>
      </c>
      <c r="F1470" s="81" t="s">
        <v>219</v>
      </c>
      <c r="G1470" s="82">
        <v>1</v>
      </c>
      <c r="H1470" s="85"/>
      <c r="I1470" s="86">
        <v>4846.49</v>
      </c>
      <c r="J1470" s="185">
        <f>ROUND($I1470/$G1470*$N$11,2)</f>
        <v>5518.21</v>
      </c>
      <c r="K1470" s="189">
        <f t="shared" ref="K1470:K1500" si="150">ROUND(G1470*J1470,2)</f>
        <v>5518.21</v>
      </c>
      <c r="L1470" s="189"/>
      <c r="M1470" s="138"/>
      <c r="N1470" s="138"/>
      <c r="O1470" s="138"/>
      <c r="S1470" s="72"/>
      <c r="T1470" s="72"/>
      <c r="U1470" s="72"/>
      <c r="V1470" s="72"/>
    </row>
    <row r="1471" spans="1:22" s="63" customFormat="1" ht="45" x14ac:dyDescent="0.25">
      <c r="A1471" s="84">
        <v>9.3800000000000008</v>
      </c>
      <c r="B1471" s="81" t="s">
        <v>51</v>
      </c>
      <c r="C1471" s="82">
        <v>146</v>
      </c>
      <c r="D1471" s="131" t="s">
        <v>1267</v>
      </c>
      <c r="E1471" s="83" t="s">
        <v>1268</v>
      </c>
      <c r="F1471" s="81" t="s">
        <v>219</v>
      </c>
      <c r="G1471" s="82">
        <v>1</v>
      </c>
      <c r="H1471" s="85"/>
      <c r="I1471" s="86">
        <v>2591.5</v>
      </c>
      <c r="J1471" s="185">
        <f>ROUND($I1471/$G1471*$N$11,2)</f>
        <v>2950.68</v>
      </c>
      <c r="K1471" s="189">
        <f t="shared" si="150"/>
        <v>2950.68</v>
      </c>
      <c r="L1471" s="189"/>
      <c r="M1471" s="138"/>
      <c r="N1471" s="138"/>
      <c r="O1471" s="138"/>
      <c r="S1471" s="72"/>
      <c r="T1471" s="72"/>
      <c r="U1471" s="72"/>
      <c r="V1471" s="72"/>
    </row>
    <row r="1472" spans="1:22" s="63" customFormat="1" ht="22.5" x14ac:dyDescent="0.25">
      <c r="A1472" s="108">
        <v>9.3810000000000002</v>
      </c>
      <c r="B1472" s="102" t="s">
        <v>51</v>
      </c>
      <c r="C1472" s="103">
        <v>146.1</v>
      </c>
      <c r="D1472" s="167" t="s">
        <v>1269</v>
      </c>
      <c r="E1472" s="104" t="s">
        <v>3618</v>
      </c>
      <c r="F1472" s="102" t="s">
        <v>219</v>
      </c>
      <c r="G1472" s="105">
        <v>1</v>
      </c>
      <c r="H1472" s="106"/>
      <c r="I1472" s="107">
        <v>6240.54</v>
      </c>
      <c r="J1472" s="192">
        <f>ROUND($I1472/$G1472*$N$12,2)</f>
        <v>6980.04</v>
      </c>
      <c r="K1472" s="193">
        <f t="shared" si="150"/>
        <v>6980.04</v>
      </c>
      <c r="L1472" s="193"/>
      <c r="M1472" s="138"/>
      <c r="N1472" s="138"/>
      <c r="O1472" s="138"/>
      <c r="S1472" s="110"/>
      <c r="T1472" s="72"/>
      <c r="U1472" s="72"/>
      <c r="V1472" s="72"/>
    </row>
    <row r="1473" spans="1:22" s="63" customFormat="1" ht="15" x14ac:dyDescent="0.25">
      <c r="A1473" s="84">
        <v>9.3819999999999997</v>
      </c>
      <c r="B1473" s="81" t="s">
        <v>51</v>
      </c>
      <c r="C1473" s="82">
        <v>147</v>
      </c>
      <c r="D1473" s="131" t="s">
        <v>1270</v>
      </c>
      <c r="E1473" s="83" t="s">
        <v>1271</v>
      </c>
      <c r="F1473" s="81" t="s">
        <v>219</v>
      </c>
      <c r="G1473" s="82">
        <v>1</v>
      </c>
      <c r="H1473" s="85"/>
      <c r="I1473" s="86">
        <v>1230.82</v>
      </c>
      <c r="J1473" s="185">
        <f t="shared" ref="J1473:J1488" si="151">ROUND($I1473/$G1473*$N$11,2)</f>
        <v>1401.41</v>
      </c>
      <c r="K1473" s="189">
        <f t="shared" si="150"/>
        <v>1401.41</v>
      </c>
      <c r="L1473" s="189"/>
      <c r="M1473" s="138"/>
      <c r="N1473" s="138"/>
      <c r="O1473" s="138"/>
      <c r="S1473" s="72"/>
      <c r="T1473" s="72"/>
      <c r="U1473" s="72"/>
      <c r="V1473" s="72"/>
    </row>
    <row r="1474" spans="1:22" s="63" customFormat="1" ht="33.75" x14ac:dyDescent="0.25">
      <c r="A1474" s="84">
        <v>9.3829999999999991</v>
      </c>
      <c r="B1474" s="81" t="s">
        <v>51</v>
      </c>
      <c r="C1474" s="80">
        <v>147.1</v>
      </c>
      <c r="D1474" s="131" t="s">
        <v>1272</v>
      </c>
      <c r="E1474" s="83" t="s">
        <v>3619</v>
      </c>
      <c r="F1474" s="81" t="s">
        <v>219</v>
      </c>
      <c r="G1474" s="82">
        <v>1</v>
      </c>
      <c r="H1474" s="85"/>
      <c r="I1474" s="86">
        <v>1595.56</v>
      </c>
      <c r="J1474" s="185">
        <f t="shared" si="151"/>
        <v>1816.7</v>
      </c>
      <c r="K1474" s="189">
        <f t="shared" si="150"/>
        <v>1816.7</v>
      </c>
      <c r="L1474" s="189"/>
      <c r="M1474" s="138"/>
      <c r="N1474" s="138"/>
      <c r="O1474" s="138"/>
      <c r="S1474" s="72"/>
      <c r="T1474" s="72"/>
      <c r="U1474" s="72"/>
      <c r="V1474" s="72"/>
    </row>
    <row r="1475" spans="1:22" s="63" customFormat="1" ht="15" x14ac:dyDescent="0.25">
      <c r="A1475" s="84">
        <v>9.3840000000000003</v>
      </c>
      <c r="B1475" s="81" t="s">
        <v>51</v>
      </c>
      <c r="C1475" s="82">
        <v>148</v>
      </c>
      <c r="D1475" s="131" t="s">
        <v>1273</v>
      </c>
      <c r="E1475" s="83" t="s">
        <v>1274</v>
      </c>
      <c r="F1475" s="81" t="s">
        <v>370</v>
      </c>
      <c r="G1475" s="87">
        <v>0.46</v>
      </c>
      <c r="H1475" s="85"/>
      <c r="I1475" s="86">
        <v>2854.86</v>
      </c>
      <c r="J1475" s="185">
        <f t="shared" si="151"/>
        <v>7066.4</v>
      </c>
      <c r="K1475" s="189">
        <f t="shared" si="150"/>
        <v>3250.54</v>
      </c>
      <c r="L1475" s="189"/>
      <c r="M1475" s="138"/>
      <c r="N1475" s="138"/>
      <c r="O1475" s="138"/>
      <c r="S1475" s="72"/>
      <c r="T1475" s="72"/>
      <c r="U1475" s="72"/>
      <c r="V1475" s="72"/>
    </row>
    <row r="1476" spans="1:22" s="63" customFormat="1" ht="22.5" x14ac:dyDescent="0.25">
      <c r="A1476" s="84">
        <v>9.3849999999999998</v>
      </c>
      <c r="B1476" s="81" t="s">
        <v>51</v>
      </c>
      <c r="C1476" s="80">
        <v>148.1</v>
      </c>
      <c r="D1476" s="131" t="s">
        <v>1275</v>
      </c>
      <c r="E1476" s="83" t="s">
        <v>3620</v>
      </c>
      <c r="F1476" s="81" t="s">
        <v>219</v>
      </c>
      <c r="G1476" s="82">
        <v>2</v>
      </c>
      <c r="H1476" s="85"/>
      <c r="I1476" s="86">
        <v>680.74</v>
      </c>
      <c r="J1476" s="185">
        <f t="shared" si="151"/>
        <v>387.55</v>
      </c>
      <c r="K1476" s="189">
        <f t="shared" si="150"/>
        <v>775.1</v>
      </c>
      <c r="L1476" s="189"/>
      <c r="M1476" s="138"/>
      <c r="N1476" s="138"/>
      <c r="O1476" s="138"/>
      <c r="S1476" s="72"/>
      <c r="T1476" s="72"/>
      <c r="U1476" s="72"/>
      <c r="V1476" s="72"/>
    </row>
    <row r="1477" spans="1:22" s="63" customFormat="1" ht="22.5" x14ac:dyDescent="0.25">
      <c r="A1477" s="84">
        <v>9.3859999999999992</v>
      </c>
      <c r="B1477" s="81" t="s">
        <v>51</v>
      </c>
      <c r="C1477" s="82">
        <v>149</v>
      </c>
      <c r="D1477" s="131" t="s">
        <v>1276</v>
      </c>
      <c r="E1477" s="83" t="s">
        <v>1277</v>
      </c>
      <c r="F1477" s="81" t="s">
        <v>219</v>
      </c>
      <c r="G1477" s="82">
        <v>1</v>
      </c>
      <c r="H1477" s="85"/>
      <c r="I1477" s="86">
        <v>1262.97</v>
      </c>
      <c r="J1477" s="185">
        <f t="shared" si="151"/>
        <v>1438.02</v>
      </c>
      <c r="K1477" s="189">
        <f t="shared" si="150"/>
        <v>1438.02</v>
      </c>
      <c r="L1477" s="189"/>
      <c r="M1477" s="138"/>
      <c r="N1477" s="138"/>
      <c r="O1477" s="138"/>
      <c r="S1477" s="72"/>
      <c r="T1477" s="72"/>
      <c r="U1477" s="72"/>
      <c r="V1477" s="72"/>
    </row>
    <row r="1478" spans="1:22" s="63" customFormat="1" ht="22.5" x14ac:dyDescent="0.25">
      <c r="A1478" s="84">
        <v>9.3870000000000005</v>
      </c>
      <c r="B1478" s="81" t="s">
        <v>51</v>
      </c>
      <c r="C1478" s="80">
        <v>149.1</v>
      </c>
      <c r="D1478" s="131" t="s">
        <v>1278</v>
      </c>
      <c r="E1478" s="83" t="s">
        <v>3621</v>
      </c>
      <c r="F1478" s="81" t="s">
        <v>219</v>
      </c>
      <c r="G1478" s="82">
        <v>1</v>
      </c>
      <c r="H1478" s="85"/>
      <c r="I1478" s="86">
        <v>2441.1999999999998</v>
      </c>
      <c r="J1478" s="185">
        <f t="shared" si="151"/>
        <v>2779.55</v>
      </c>
      <c r="K1478" s="189">
        <f t="shared" si="150"/>
        <v>2779.55</v>
      </c>
      <c r="L1478" s="189"/>
      <c r="M1478" s="138"/>
      <c r="N1478" s="138"/>
      <c r="O1478" s="138"/>
      <c r="S1478" s="72"/>
      <c r="T1478" s="72"/>
      <c r="U1478" s="72"/>
      <c r="V1478" s="72"/>
    </row>
    <row r="1479" spans="1:22" s="63" customFormat="1" ht="15" x14ac:dyDescent="0.25">
      <c r="A1479" s="84">
        <v>9.3879999999999999</v>
      </c>
      <c r="B1479" s="81" t="s">
        <v>51</v>
      </c>
      <c r="C1479" s="80">
        <v>149.19999999999999</v>
      </c>
      <c r="D1479" s="131" t="s">
        <v>1279</v>
      </c>
      <c r="E1479" s="83" t="s">
        <v>3622</v>
      </c>
      <c r="F1479" s="81" t="s">
        <v>219</v>
      </c>
      <c r="G1479" s="82">
        <v>4</v>
      </c>
      <c r="H1479" s="85"/>
      <c r="I1479" s="86">
        <v>1561.46</v>
      </c>
      <c r="J1479" s="185">
        <f t="shared" si="151"/>
        <v>444.47</v>
      </c>
      <c r="K1479" s="189">
        <f t="shared" si="150"/>
        <v>1777.88</v>
      </c>
      <c r="L1479" s="189"/>
      <c r="M1479" s="138"/>
      <c r="N1479" s="138"/>
      <c r="O1479" s="138"/>
      <c r="S1479" s="72"/>
      <c r="T1479" s="72"/>
      <c r="U1479" s="72"/>
      <c r="V1479" s="72"/>
    </row>
    <row r="1480" spans="1:22" s="63" customFormat="1" ht="33.75" x14ac:dyDescent="0.25">
      <c r="A1480" s="84">
        <v>9.3889999999999993</v>
      </c>
      <c r="B1480" s="81" t="s">
        <v>51</v>
      </c>
      <c r="C1480" s="82">
        <v>150</v>
      </c>
      <c r="D1480" s="131" t="s">
        <v>1164</v>
      </c>
      <c r="E1480" s="83" t="s">
        <v>1196</v>
      </c>
      <c r="F1480" s="81" t="s">
        <v>207</v>
      </c>
      <c r="G1480" s="87">
        <v>0.08</v>
      </c>
      <c r="H1480" s="85"/>
      <c r="I1480" s="86">
        <v>13738.67</v>
      </c>
      <c r="J1480" s="185">
        <f t="shared" si="151"/>
        <v>195535.62</v>
      </c>
      <c r="K1480" s="189">
        <f t="shared" si="150"/>
        <v>15642.85</v>
      </c>
      <c r="L1480" s="189"/>
      <c r="M1480" s="138"/>
      <c r="N1480" s="138"/>
      <c r="O1480" s="138"/>
      <c r="S1480" s="72"/>
      <c r="T1480" s="72"/>
      <c r="U1480" s="72"/>
      <c r="V1480" s="72"/>
    </row>
    <row r="1481" spans="1:22" s="63" customFormat="1" ht="33.75" x14ac:dyDescent="0.25">
      <c r="A1481" s="84">
        <v>9.39</v>
      </c>
      <c r="B1481" s="81" t="s">
        <v>51</v>
      </c>
      <c r="C1481" s="80">
        <v>150.1</v>
      </c>
      <c r="D1481" s="131" t="s">
        <v>1108</v>
      </c>
      <c r="E1481" s="83" t="s">
        <v>3623</v>
      </c>
      <c r="F1481" s="81" t="s">
        <v>370</v>
      </c>
      <c r="G1481" s="82">
        <v>8</v>
      </c>
      <c r="H1481" s="85"/>
      <c r="I1481" s="86">
        <v>10109.35</v>
      </c>
      <c r="J1481" s="185">
        <f t="shared" si="151"/>
        <v>1438.81</v>
      </c>
      <c r="K1481" s="189">
        <f t="shared" si="150"/>
        <v>11510.48</v>
      </c>
      <c r="L1481" s="189"/>
      <c r="M1481" s="138"/>
      <c r="N1481" s="138"/>
      <c r="O1481" s="138"/>
      <c r="S1481" s="72"/>
      <c r="T1481" s="72"/>
      <c r="U1481" s="72"/>
      <c r="V1481" s="72"/>
    </row>
    <row r="1482" spans="1:22" s="63" customFormat="1" ht="22.5" x14ac:dyDescent="0.25">
      <c r="A1482" s="84">
        <v>9.391</v>
      </c>
      <c r="B1482" s="81" t="s">
        <v>51</v>
      </c>
      <c r="C1482" s="82">
        <v>151</v>
      </c>
      <c r="D1482" s="131" t="s">
        <v>1194</v>
      </c>
      <c r="E1482" s="83" t="s">
        <v>1198</v>
      </c>
      <c r="F1482" s="81" t="s">
        <v>207</v>
      </c>
      <c r="G1482" s="88">
        <v>0.1159</v>
      </c>
      <c r="H1482" s="85"/>
      <c r="I1482" s="86">
        <v>13206.56</v>
      </c>
      <c r="J1482" s="185">
        <f t="shared" si="151"/>
        <v>129741.06</v>
      </c>
      <c r="K1482" s="189">
        <f t="shared" si="150"/>
        <v>15036.99</v>
      </c>
      <c r="L1482" s="189"/>
      <c r="M1482" s="138"/>
      <c r="N1482" s="138"/>
      <c r="O1482" s="138"/>
      <c r="S1482" s="72"/>
      <c r="T1482" s="72"/>
      <c r="U1482" s="72"/>
      <c r="V1482" s="72"/>
    </row>
    <row r="1483" spans="1:22" s="63" customFormat="1" ht="33.75" x14ac:dyDescent="0.25">
      <c r="A1483" s="84">
        <v>9.3919999999999995</v>
      </c>
      <c r="B1483" s="81" t="s">
        <v>51</v>
      </c>
      <c r="C1483" s="80">
        <v>151.1</v>
      </c>
      <c r="D1483" s="131" t="s">
        <v>1108</v>
      </c>
      <c r="E1483" s="83" t="s">
        <v>3616</v>
      </c>
      <c r="F1483" s="81" t="s">
        <v>370</v>
      </c>
      <c r="G1483" s="87">
        <v>11.59</v>
      </c>
      <c r="H1483" s="85"/>
      <c r="I1483" s="86">
        <v>14645.87</v>
      </c>
      <c r="J1483" s="185">
        <f t="shared" si="151"/>
        <v>1438.81</v>
      </c>
      <c r="K1483" s="189">
        <f t="shared" si="150"/>
        <v>16675.810000000001</v>
      </c>
      <c r="L1483" s="189"/>
      <c r="M1483" s="138"/>
      <c r="N1483" s="138"/>
      <c r="O1483" s="138"/>
      <c r="S1483" s="72"/>
      <c r="T1483" s="72"/>
      <c r="U1483" s="72"/>
      <c r="V1483" s="72"/>
    </row>
    <row r="1484" spans="1:22" s="63" customFormat="1" ht="33.75" x14ac:dyDescent="0.25">
      <c r="A1484" s="84">
        <v>9.3930000000000007</v>
      </c>
      <c r="B1484" s="81" t="s">
        <v>51</v>
      </c>
      <c r="C1484" s="80">
        <v>151.19999999999999</v>
      </c>
      <c r="D1484" s="131" t="s">
        <v>1116</v>
      </c>
      <c r="E1484" s="83" t="s">
        <v>1117</v>
      </c>
      <c r="F1484" s="81" t="s">
        <v>226</v>
      </c>
      <c r="G1484" s="84">
        <v>2.1999999999999999E-2</v>
      </c>
      <c r="H1484" s="85"/>
      <c r="I1484" s="86">
        <v>2476.54</v>
      </c>
      <c r="J1484" s="185">
        <f t="shared" si="151"/>
        <v>128172.2</v>
      </c>
      <c r="K1484" s="189">
        <f t="shared" si="150"/>
        <v>2819.79</v>
      </c>
      <c r="L1484" s="189"/>
      <c r="M1484" s="138"/>
      <c r="N1484" s="138"/>
      <c r="O1484" s="138"/>
      <c r="S1484" s="72"/>
      <c r="T1484" s="72"/>
      <c r="U1484" s="72"/>
      <c r="V1484" s="72"/>
    </row>
    <row r="1485" spans="1:22" s="63" customFormat="1" ht="22.5" x14ac:dyDescent="0.25">
      <c r="A1485" s="84">
        <v>9.3940000000000001</v>
      </c>
      <c r="B1485" s="81" t="s">
        <v>51</v>
      </c>
      <c r="C1485" s="82">
        <v>152</v>
      </c>
      <c r="D1485" s="131" t="s">
        <v>1118</v>
      </c>
      <c r="E1485" s="83" t="s">
        <v>1119</v>
      </c>
      <c r="F1485" s="81" t="s">
        <v>219</v>
      </c>
      <c r="G1485" s="82">
        <v>3</v>
      </c>
      <c r="H1485" s="85"/>
      <c r="I1485" s="86">
        <v>7503.88</v>
      </c>
      <c r="J1485" s="185">
        <f t="shared" si="151"/>
        <v>2847.97</v>
      </c>
      <c r="K1485" s="189">
        <f t="shared" si="150"/>
        <v>8543.91</v>
      </c>
      <c r="L1485" s="189"/>
      <c r="M1485" s="138"/>
      <c r="N1485" s="138"/>
      <c r="O1485" s="138"/>
      <c r="S1485" s="72"/>
      <c r="T1485" s="72"/>
      <c r="U1485" s="72"/>
      <c r="V1485" s="72"/>
    </row>
    <row r="1486" spans="1:22" s="63" customFormat="1" ht="22.5" x14ac:dyDescent="0.25">
      <c r="A1486" s="84">
        <v>9.3949999999999996</v>
      </c>
      <c r="B1486" s="81" t="s">
        <v>51</v>
      </c>
      <c r="C1486" s="80">
        <v>152.1</v>
      </c>
      <c r="D1486" s="131" t="s">
        <v>1199</v>
      </c>
      <c r="E1486" s="83" t="s">
        <v>1200</v>
      </c>
      <c r="F1486" s="81" t="s">
        <v>219</v>
      </c>
      <c r="G1486" s="82">
        <v>2</v>
      </c>
      <c r="H1486" s="85"/>
      <c r="I1486" s="86">
        <v>916.24</v>
      </c>
      <c r="J1486" s="185">
        <f t="shared" si="151"/>
        <v>521.62</v>
      </c>
      <c r="K1486" s="189">
        <f t="shared" si="150"/>
        <v>1043.24</v>
      </c>
      <c r="L1486" s="189"/>
      <c r="M1486" s="138"/>
      <c r="N1486" s="138"/>
      <c r="O1486" s="138"/>
      <c r="S1486" s="72"/>
      <c r="T1486" s="72"/>
      <c r="U1486" s="72"/>
      <c r="V1486" s="72"/>
    </row>
    <row r="1487" spans="1:22" s="63" customFormat="1" ht="22.5" x14ac:dyDescent="0.25">
      <c r="A1487" s="84">
        <v>9.3960000000000008</v>
      </c>
      <c r="B1487" s="81" t="s">
        <v>51</v>
      </c>
      <c r="C1487" s="80">
        <v>152.19999999999999</v>
      </c>
      <c r="D1487" s="131" t="s">
        <v>1280</v>
      </c>
      <c r="E1487" s="83" t="s">
        <v>1281</v>
      </c>
      <c r="F1487" s="81" t="s">
        <v>219</v>
      </c>
      <c r="G1487" s="82">
        <v>1</v>
      </c>
      <c r="H1487" s="85"/>
      <c r="I1487" s="86">
        <v>627.9</v>
      </c>
      <c r="J1487" s="185">
        <f t="shared" si="151"/>
        <v>714.93</v>
      </c>
      <c r="K1487" s="189">
        <f t="shared" si="150"/>
        <v>714.93</v>
      </c>
      <c r="L1487" s="189"/>
      <c r="M1487" s="138"/>
      <c r="N1487" s="138"/>
      <c r="O1487" s="138"/>
      <c r="S1487" s="72"/>
      <c r="T1487" s="72"/>
      <c r="U1487" s="72"/>
      <c r="V1487" s="72"/>
    </row>
    <row r="1488" spans="1:22" s="63" customFormat="1" ht="22.5" x14ac:dyDescent="0.25">
      <c r="A1488" s="84">
        <v>9.3970000000000002</v>
      </c>
      <c r="B1488" s="81" t="s">
        <v>51</v>
      </c>
      <c r="C1488" s="82">
        <v>153</v>
      </c>
      <c r="D1488" s="131" t="s">
        <v>1143</v>
      </c>
      <c r="E1488" s="83" t="s">
        <v>1144</v>
      </c>
      <c r="F1488" s="81" t="s">
        <v>219</v>
      </c>
      <c r="G1488" s="82">
        <v>3</v>
      </c>
      <c r="H1488" s="85"/>
      <c r="I1488" s="86">
        <v>4572.8599999999997</v>
      </c>
      <c r="J1488" s="185">
        <f t="shared" si="151"/>
        <v>1735.55</v>
      </c>
      <c r="K1488" s="189">
        <f t="shared" si="150"/>
        <v>5206.6499999999996</v>
      </c>
      <c r="L1488" s="189"/>
      <c r="M1488" s="138"/>
      <c r="N1488" s="138"/>
      <c r="O1488" s="138"/>
      <c r="S1488" s="72"/>
      <c r="T1488" s="72"/>
      <c r="U1488" s="72"/>
      <c r="V1488" s="72"/>
    </row>
    <row r="1489" spans="1:22" s="63" customFormat="1" ht="22.5" x14ac:dyDescent="0.25">
      <c r="A1489" s="108">
        <v>9.3979999999999997</v>
      </c>
      <c r="B1489" s="102" t="s">
        <v>51</v>
      </c>
      <c r="C1489" s="103">
        <v>153.1</v>
      </c>
      <c r="D1489" s="167" t="s">
        <v>1208</v>
      </c>
      <c r="E1489" s="104" t="s">
        <v>1209</v>
      </c>
      <c r="F1489" s="102" t="s">
        <v>219</v>
      </c>
      <c r="G1489" s="105">
        <v>2</v>
      </c>
      <c r="H1489" s="106"/>
      <c r="I1489" s="107">
        <v>24989.7</v>
      </c>
      <c r="J1489" s="192">
        <f>ROUND($I1489/$G1489*$N$12,2)</f>
        <v>13975.49</v>
      </c>
      <c r="K1489" s="193">
        <f t="shared" si="150"/>
        <v>27950.98</v>
      </c>
      <c r="L1489" s="193"/>
      <c r="M1489" s="138"/>
      <c r="N1489" s="138"/>
      <c r="O1489" s="138"/>
      <c r="S1489" s="72"/>
      <c r="T1489" s="72"/>
      <c r="U1489" s="72"/>
      <c r="V1489" s="72"/>
    </row>
    <row r="1490" spans="1:22" s="63" customFormat="1" ht="22.5" x14ac:dyDescent="0.25">
      <c r="A1490" s="108">
        <v>9.3989999999999991</v>
      </c>
      <c r="B1490" s="102" t="s">
        <v>51</v>
      </c>
      <c r="C1490" s="103">
        <v>153.19999999999999</v>
      </c>
      <c r="D1490" s="167" t="s">
        <v>1253</v>
      </c>
      <c r="E1490" s="104" t="s">
        <v>1254</v>
      </c>
      <c r="F1490" s="102" t="s">
        <v>219</v>
      </c>
      <c r="G1490" s="105">
        <v>1</v>
      </c>
      <c r="H1490" s="106"/>
      <c r="I1490" s="107">
        <v>12494.85</v>
      </c>
      <c r="J1490" s="192">
        <f>ROUND($I1490/$G1490*$N$12,2)</f>
        <v>13975.49</v>
      </c>
      <c r="K1490" s="193">
        <f t="shared" si="150"/>
        <v>13975.49</v>
      </c>
      <c r="L1490" s="193"/>
      <c r="M1490" s="138"/>
      <c r="N1490" s="138"/>
      <c r="O1490" s="138"/>
      <c r="S1490" s="72"/>
      <c r="T1490" s="72"/>
      <c r="U1490" s="72"/>
      <c r="V1490" s="72"/>
    </row>
    <row r="1491" spans="1:22" s="63" customFormat="1" ht="22.5" x14ac:dyDescent="0.25">
      <c r="A1491" s="84">
        <v>9.4</v>
      </c>
      <c r="B1491" s="81" t="s">
        <v>51</v>
      </c>
      <c r="C1491" s="82">
        <v>154</v>
      </c>
      <c r="D1491" s="131" t="s">
        <v>1143</v>
      </c>
      <c r="E1491" s="83" t="s">
        <v>1144</v>
      </c>
      <c r="F1491" s="81" t="s">
        <v>219</v>
      </c>
      <c r="G1491" s="82">
        <v>3</v>
      </c>
      <c r="H1491" s="85"/>
      <c r="I1491" s="86">
        <v>4572.8599999999997</v>
      </c>
      <c r="J1491" s="185">
        <f>ROUND($I1491/$G1491*$N$11,2)</f>
        <v>1735.55</v>
      </c>
      <c r="K1491" s="189">
        <f t="shared" si="150"/>
        <v>5206.6499999999996</v>
      </c>
      <c r="L1491" s="189"/>
      <c r="M1491" s="138"/>
      <c r="N1491" s="138"/>
      <c r="O1491" s="138"/>
      <c r="S1491" s="72"/>
      <c r="T1491" s="72"/>
      <c r="U1491" s="72"/>
      <c r="V1491" s="72"/>
    </row>
    <row r="1492" spans="1:22" s="63" customFormat="1" ht="22.5" x14ac:dyDescent="0.25">
      <c r="A1492" s="84">
        <v>9.4009999999999998</v>
      </c>
      <c r="B1492" s="81" t="s">
        <v>51</v>
      </c>
      <c r="C1492" s="80">
        <v>154.1</v>
      </c>
      <c r="D1492" s="131" t="s">
        <v>1203</v>
      </c>
      <c r="E1492" s="83" t="s">
        <v>1204</v>
      </c>
      <c r="F1492" s="81" t="s">
        <v>219</v>
      </c>
      <c r="G1492" s="82">
        <v>3</v>
      </c>
      <c r="H1492" s="85"/>
      <c r="I1492" s="86">
        <v>11603.85</v>
      </c>
      <c r="J1492" s="185">
        <f>ROUND($I1492/$G1492*$N$11,2)</f>
        <v>4404.05</v>
      </c>
      <c r="K1492" s="189">
        <f t="shared" si="150"/>
        <v>13212.15</v>
      </c>
      <c r="L1492" s="189"/>
      <c r="M1492" s="138"/>
      <c r="N1492" s="138"/>
      <c r="O1492" s="138"/>
      <c r="S1492" s="72"/>
      <c r="T1492" s="72"/>
      <c r="U1492" s="72"/>
      <c r="V1492" s="72"/>
    </row>
    <row r="1493" spans="1:22" s="63" customFormat="1" ht="22.5" x14ac:dyDescent="0.25">
      <c r="A1493" s="84">
        <v>9.4019999999999992</v>
      </c>
      <c r="B1493" s="81" t="s">
        <v>51</v>
      </c>
      <c r="C1493" s="82">
        <v>155</v>
      </c>
      <c r="D1493" s="131" t="s">
        <v>1186</v>
      </c>
      <c r="E1493" s="83" t="s">
        <v>1187</v>
      </c>
      <c r="F1493" s="81" t="s">
        <v>219</v>
      </c>
      <c r="G1493" s="82">
        <v>1</v>
      </c>
      <c r="H1493" s="85"/>
      <c r="I1493" s="86">
        <v>4679.82</v>
      </c>
      <c r="J1493" s="185">
        <f>ROUND($I1493/$G1493*$N$11,2)</f>
        <v>5328.44</v>
      </c>
      <c r="K1493" s="189">
        <f t="shared" si="150"/>
        <v>5328.44</v>
      </c>
      <c r="L1493" s="189"/>
      <c r="M1493" s="138"/>
      <c r="N1493" s="138"/>
      <c r="O1493" s="138"/>
      <c r="S1493" s="72"/>
      <c r="T1493" s="72"/>
      <c r="U1493" s="72"/>
      <c r="V1493" s="72"/>
    </row>
    <row r="1494" spans="1:22" s="63" customFormat="1" ht="22.5" x14ac:dyDescent="0.25">
      <c r="A1494" s="84">
        <v>9.4030000000000005</v>
      </c>
      <c r="B1494" s="81" t="s">
        <v>51</v>
      </c>
      <c r="C1494" s="80">
        <v>155.1</v>
      </c>
      <c r="D1494" s="131" t="s">
        <v>1137</v>
      </c>
      <c r="E1494" s="83" t="s">
        <v>1138</v>
      </c>
      <c r="F1494" s="81" t="s">
        <v>334</v>
      </c>
      <c r="G1494" s="80">
        <v>9.3000000000000007</v>
      </c>
      <c r="H1494" s="85"/>
      <c r="I1494" s="86">
        <v>993.49</v>
      </c>
      <c r="J1494" s="185">
        <f>ROUND($I1494/$G1494*$N$11,2)</f>
        <v>121.63</v>
      </c>
      <c r="K1494" s="189">
        <f t="shared" si="150"/>
        <v>1131.1600000000001</v>
      </c>
      <c r="L1494" s="189"/>
      <c r="M1494" s="138"/>
      <c r="N1494" s="138"/>
      <c r="O1494" s="138"/>
      <c r="S1494" s="72"/>
      <c r="T1494" s="72"/>
      <c r="U1494" s="72"/>
      <c r="V1494" s="72"/>
    </row>
    <row r="1495" spans="1:22" s="63" customFormat="1" ht="22.5" x14ac:dyDescent="0.25">
      <c r="A1495" s="84">
        <v>9.4039999999999999</v>
      </c>
      <c r="B1495" s="81" t="s">
        <v>51</v>
      </c>
      <c r="C1495" s="80">
        <v>155.19999999999999</v>
      </c>
      <c r="D1495" s="131" t="s">
        <v>1139</v>
      </c>
      <c r="E1495" s="83" t="s">
        <v>1140</v>
      </c>
      <c r="F1495" s="81" t="s">
        <v>566</v>
      </c>
      <c r="G1495" s="80">
        <v>0.2</v>
      </c>
      <c r="H1495" s="85"/>
      <c r="I1495" s="86">
        <v>419.49</v>
      </c>
      <c r="J1495" s="185">
        <f>ROUND($I1495/$G1495*$N$11,2)</f>
        <v>2388.16</v>
      </c>
      <c r="K1495" s="189">
        <f t="shared" si="150"/>
        <v>477.63</v>
      </c>
      <c r="L1495" s="189"/>
      <c r="M1495" s="138"/>
      <c r="N1495" s="138"/>
      <c r="O1495" s="138"/>
      <c r="S1495" s="72"/>
      <c r="T1495" s="72"/>
      <c r="U1495" s="72"/>
      <c r="V1495" s="72"/>
    </row>
    <row r="1496" spans="1:22" s="63" customFormat="1" ht="22.5" x14ac:dyDescent="0.25">
      <c r="A1496" s="108">
        <v>9.4049999999999994</v>
      </c>
      <c r="B1496" s="102" t="s">
        <v>51</v>
      </c>
      <c r="C1496" s="103">
        <v>155.30000000000001</v>
      </c>
      <c r="D1496" s="167" t="s">
        <v>1211</v>
      </c>
      <c r="E1496" s="104" t="s">
        <v>1212</v>
      </c>
      <c r="F1496" s="102" t="s">
        <v>219</v>
      </c>
      <c r="G1496" s="105">
        <v>1</v>
      </c>
      <c r="H1496" s="106"/>
      <c r="I1496" s="107">
        <v>12982.65</v>
      </c>
      <c r="J1496" s="192">
        <f>ROUND($I1496/$G1496*$N$12,2)</f>
        <v>14521.09</v>
      </c>
      <c r="K1496" s="193">
        <f t="shared" si="150"/>
        <v>14521.09</v>
      </c>
      <c r="L1496" s="193"/>
      <c r="M1496" s="138"/>
      <c r="N1496" s="138"/>
      <c r="O1496" s="138"/>
      <c r="S1496" s="72"/>
      <c r="T1496" s="72"/>
      <c r="U1496" s="72"/>
      <c r="V1496" s="72"/>
    </row>
    <row r="1497" spans="1:22" s="63" customFormat="1" ht="33.75" x14ac:dyDescent="0.25">
      <c r="A1497" s="84">
        <v>9.4060000000000006</v>
      </c>
      <c r="B1497" s="81" t="s">
        <v>51</v>
      </c>
      <c r="C1497" s="82">
        <v>156</v>
      </c>
      <c r="D1497" s="131" t="s">
        <v>1080</v>
      </c>
      <c r="E1497" s="83" t="s">
        <v>1282</v>
      </c>
      <c r="F1497" s="81" t="s">
        <v>219</v>
      </c>
      <c r="G1497" s="82">
        <v>1</v>
      </c>
      <c r="H1497" s="85"/>
      <c r="I1497" s="86">
        <v>2167.71</v>
      </c>
      <c r="J1497" s="185">
        <f>ROUND($I1497/$G1497*$N$11,2)</f>
        <v>2468.15</v>
      </c>
      <c r="K1497" s="189">
        <f t="shared" si="150"/>
        <v>2468.15</v>
      </c>
      <c r="L1497" s="189"/>
      <c r="M1497" s="138"/>
      <c r="N1497" s="138"/>
      <c r="O1497" s="138"/>
      <c r="S1497" s="72"/>
      <c r="T1497" s="72"/>
      <c r="U1497" s="72"/>
      <c r="V1497" s="72"/>
    </row>
    <row r="1498" spans="1:22" s="63" customFormat="1" ht="15" x14ac:dyDescent="0.25">
      <c r="A1498" s="84">
        <v>9.407</v>
      </c>
      <c r="B1498" s="81" t="s">
        <v>51</v>
      </c>
      <c r="C1498" s="80">
        <v>156.1</v>
      </c>
      <c r="D1498" s="131" t="s">
        <v>1245</v>
      </c>
      <c r="E1498" s="83" t="s">
        <v>3610</v>
      </c>
      <c r="F1498" s="81" t="s">
        <v>219</v>
      </c>
      <c r="G1498" s="82">
        <v>1</v>
      </c>
      <c r="H1498" s="85"/>
      <c r="I1498" s="86">
        <v>2550.16</v>
      </c>
      <c r="J1498" s="185">
        <f>ROUND($I1498/$G1498*$N$11,2)</f>
        <v>2903.61</v>
      </c>
      <c r="K1498" s="189">
        <f t="shared" si="150"/>
        <v>2903.61</v>
      </c>
      <c r="L1498" s="189"/>
      <c r="M1498" s="138"/>
      <c r="N1498" s="138"/>
      <c r="O1498" s="138"/>
      <c r="S1498" s="72"/>
      <c r="T1498" s="72"/>
      <c r="U1498" s="72"/>
      <c r="V1498" s="72"/>
    </row>
    <row r="1499" spans="1:22" s="63" customFormat="1" ht="22.5" x14ac:dyDescent="0.25">
      <c r="A1499" s="84">
        <v>9.4079999999999995</v>
      </c>
      <c r="B1499" s="81" t="s">
        <v>51</v>
      </c>
      <c r="C1499" s="82">
        <v>157</v>
      </c>
      <c r="D1499" s="131" t="s">
        <v>1151</v>
      </c>
      <c r="E1499" s="83" t="s">
        <v>1152</v>
      </c>
      <c r="F1499" s="81" t="s">
        <v>205</v>
      </c>
      <c r="G1499" s="87">
        <v>0.69</v>
      </c>
      <c r="H1499" s="85"/>
      <c r="I1499" s="86">
        <v>17667.2</v>
      </c>
      <c r="J1499" s="185">
        <f>ROUND($I1499/$G1499*$N$11,2)</f>
        <v>29153.439999999999</v>
      </c>
      <c r="K1499" s="189">
        <f t="shared" si="150"/>
        <v>20115.87</v>
      </c>
      <c r="L1499" s="189"/>
      <c r="M1499" s="138"/>
      <c r="N1499" s="138"/>
      <c r="O1499" s="138"/>
      <c r="S1499" s="72"/>
      <c r="T1499" s="72"/>
      <c r="U1499" s="72"/>
      <c r="V1499" s="72"/>
    </row>
    <row r="1500" spans="1:22" s="63" customFormat="1" ht="22.5" x14ac:dyDescent="0.25">
      <c r="A1500" s="84">
        <v>9.4090000000000007</v>
      </c>
      <c r="B1500" s="81" t="s">
        <v>51</v>
      </c>
      <c r="C1500" s="80">
        <v>157.1</v>
      </c>
      <c r="D1500" s="131" t="s">
        <v>1153</v>
      </c>
      <c r="E1500" s="83" t="s">
        <v>3573</v>
      </c>
      <c r="F1500" s="81" t="s">
        <v>370</v>
      </c>
      <c r="G1500" s="87">
        <v>24.15</v>
      </c>
      <c r="H1500" s="85"/>
      <c r="I1500" s="86">
        <v>8554.1</v>
      </c>
      <c r="J1500" s="185">
        <f>ROUND($I1500/$G1500*$N$11,2)</f>
        <v>403.3</v>
      </c>
      <c r="K1500" s="189">
        <f t="shared" si="150"/>
        <v>9739.7000000000007</v>
      </c>
      <c r="L1500" s="189"/>
      <c r="M1500" s="138"/>
      <c r="N1500" s="138"/>
      <c r="O1500" s="138"/>
      <c r="S1500" s="72"/>
      <c r="T1500" s="72"/>
      <c r="U1500" s="72"/>
      <c r="V1500" s="72"/>
    </row>
    <row r="1501" spans="1:22" s="128" customFormat="1" ht="12.75" x14ac:dyDescent="0.25">
      <c r="A1501" s="242"/>
      <c r="B1501" s="125"/>
      <c r="C1501" s="236"/>
      <c r="D1501" s="77"/>
      <c r="E1501" s="126" t="s">
        <v>3303</v>
      </c>
      <c r="F1501" s="125"/>
      <c r="G1501" s="237"/>
      <c r="H1501" s="127"/>
      <c r="I1501" s="78"/>
      <c r="J1501" s="238"/>
      <c r="K1501" s="239"/>
      <c r="L1501" s="239"/>
      <c r="M1501" s="79"/>
      <c r="N1501" s="79"/>
      <c r="O1501" s="79"/>
      <c r="S1501" s="129"/>
      <c r="T1501" s="129"/>
      <c r="U1501" s="129"/>
      <c r="V1501" s="129"/>
    </row>
    <row r="1502" spans="1:22" s="63" customFormat="1" ht="22.5" x14ac:dyDescent="0.25">
      <c r="A1502" s="84">
        <v>9.41</v>
      </c>
      <c r="B1502" s="81" t="s">
        <v>51</v>
      </c>
      <c r="C1502" s="82">
        <v>158</v>
      </c>
      <c r="D1502" s="131" t="s">
        <v>1086</v>
      </c>
      <c r="E1502" s="83" t="s">
        <v>1087</v>
      </c>
      <c r="F1502" s="81" t="s">
        <v>207</v>
      </c>
      <c r="G1502" s="84">
        <v>0.98299999999999998</v>
      </c>
      <c r="H1502" s="85"/>
      <c r="I1502" s="86">
        <v>184345.51</v>
      </c>
      <c r="J1502" s="185">
        <f t="shared" ref="J1502:J1528" si="152">ROUND($I1502/$G1502*$N$11,2)</f>
        <v>213525.74</v>
      </c>
      <c r="K1502" s="189">
        <f t="shared" ref="K1502:K1533" si="153">ROUND(G1502*J1502,2)</f>
        <v>209895.8</v>
      </c>
      <c r="L1502" s="189"/>
      <c r="M1502" s="138"/>
      <c r="N1502" s="138"/>
      <c r="O1502" s="138"/>
      <c r="S1502" s="72"/>
      <c r="T1502" s="72"/>
      <c r="U1502" s="72"/>
      <c r="V1502" s="72"/>
    </row>
    <row r="1503" spans="1:22" s="63" customFormat="1" ht="22.5" x14ac:dyDescent="0.25">
      <c r="A1503" s="84">
        <v>9.4109999999999996</v>
      </c>
      <c r="B1503" s="81" t="s">
        <v>51</v>
      </c>
      <c r="C1503" s="80">
        <v>158.1</v>
      </c>
      <c r="D1503" s="131" t="s">
        <v>1088</v>
      </c>
      <c r="E1503" s="83" t="s">
        <v>1089</v>
      </c>
      <c r="F1503" s="81" t="s">
        <v>370</v>
      </c>
      <c r="G1503" s="80">
        <v>98.3</v>
      </c>
      <c r="H1503" s="85"/>
      <c r="I1503" s="86">
        <v>89394.07</v>
      </c>
      <c r="J1503" s="185">
        <f t="shared" si="152"/>
        <v>1035.44</v>
      </c>
      <c r="K1503" s="189">
        <f t="shared" si="153"/>
        <v>101783.75</v>
      </c>
      <c r="L1503" s="189"/>
      <c r="M1503" s="138"/>
      <c r="N1503" s="138"/>
      <c r="O1503" s="138"/>
      <c r="S1503" s="72"/>
      <c r="T1503" s="72"/>
      <c r="U1503" s="72"/>
      <c r="V1503" s="72"/>
    </row>
    <row r="1504" spans="1:22" s="63" customFormat="1" ht="22.5" x14ac:dyDescent="0.25">
      <c r="A1504" s="84">
        <v>9.4120000000000008</v>
      </c>
      <c r="B1504" s="81" t="s">
        <v>51</v>
      </c>
      <c r="C1504" s="82">
        <v>159</v>
      </c>
      <c r="D1504" s="131" t="s">
        <v>1158</v>
      </c>
      <c r="E1504" s="83" t="s">
        <v>1159</v>
      </c>
      <c r="F1504" s="81" t="s">
        <v>207</v>
      </c>
      <c r="G1504" s="84">
        <v>1.593</v>
      </c>
      <c r="H1504" s="85"/>
      <c r="I1504" s="86">
        <v>273562.52</v>
      </c>
      <c r="J1504" s="185">
        <f t="shared" si="152"/>
        <v>195529.37</v>
      </c>
      <c r="K1504" s="189">
        <f t="shared" si="153"/>
        <v>311478.28999999998</v>
      </c>
      <c r="L1504" s="189"/>
      <c r="M1504" s="138"/>
      <c r="N1504" s="138"/>
      <c r="O1504" s="138"/>
      <c r="S1504" s="72"/>
      <c r="T1504" s="72"/>
      <c r="U1504" s="72"/>
      <c r="V1504" s="72"/>
    </row>
    <row r="1505" spans="1:22" s="63" customFormat="1" ht="22.5" x14ac:dyDescent="0.25">
      <c r="A1505" s="84">
        <v>9.4130000000000003</v>
      </c>
      <c r="B1505" s="81" t="s">
        <v>51</v>
      </c>
      <c r="C1505" s="80">
        <v>159.1</v>
      </c>
      <c r="D1505" s="131" t="s">
        <v>1246</v>
      </c>
      <c r="E1505" s="83" t="s">
        <v>1247</v>
      </c>
      <c r="F1505" s="81" t="s">
        <v>370</v>
      </c>
      <c r="G1505" s="80">
        <v>65.099999999999994</v>
      </c>
      <c r="H1505" s="85"/>
      <c r="I1505" s="86">
        <v>77238.33</v>
      </c>
      <c r="J1505" s="185">
        <f t="shared" si="152"/>
        <v>1350.9</v>
      </c>
      <c r="K1505" s="189">
        <f t="shared" si="153"/>
        <v>87943.59</v>
      </c>
      <c r="L1505" s="189"/>
      <c r="M1505" s="138"/>
      <c r="N1505" s="138"/>
      <c r="O1505" s="138"/>
      <c r="S1505" s="72"/>
      <c r="T1505" s="72"/>
      <c r="U1505" s="72"/>
      <c r="V1505" s="72"/>
    </row>
    <row r="1506" spans="1:22" s="63" customFormat="1" ht="22.5" x14ac:dyDescent="0.25">
      <c r="A1506" s="84">
        <v>9.4139999999999997</v>
      </c>
      <c r="B1506" s="81" t="s">
        <v>51</v>
      </c>
      <c r="C1506" s="80">
        <v>159.19999999999999</v>
      </c>
      <c r="D1506" s="131" t="s">
        <v>1160</v>
      </c>
      <c r="E1506" s="83" t="s">
        <v>1161</v>
      </c>
      <c r="F1506" s="81" t="s">
        <v>370</v>
      </c>
      <c r="G1506" s="80">
        <v>74.400000000000006</v>
      </c>
      <c r="H1506" s="85"/>
      <c r="I1506" s="86">
        <v>86131.83</v>
      </c>
      <c r="J1506" s="185">
        <f t="shared" si="152"/>
        <v>1318.14</v>
      </c>
      <c r="K1506" s="189">
        <f t="shared" si="153"/>
        <v>98069.62</v>
      </c>
      <c r="L1506" s="189"/>
      <c r="M1506" s="138"/>
      <c r="N1506" s="138"/>
      <c r="O1506" s="138"/>
      <c r="S1506" s="72"/>
      <c r="T1506" s="72"/>
      <c r="U1506" s="72"/>
      <c r="V1506" s="72"/>
    </row>
    <row r="1507" spans="1:22" s="63" customFormat="1" ht="22.5" x14ac:dyDescent="0.25">
      <c r="A1507" s="84">
        <v>9.4149999999999991</v>
      </c>
      <c r="B1507" s="81" t="s">
        <v>51</v>
      </c>
      <c r="C1507" s="80">
        <v>159.30000000000001</v>
      </c>
      <c r="D1507" s="131" t="s">
        <v>1162</v>
      </c>
      <c r="E1507" s="83" t="s">
        <v>1163</v>
      </c>
      <c r="F1507" s="81" t="s">
        <v>370</v>
      </c>
      <c r="G1507" s="80">
        <v>19.8</v>
      </c>
      <c r="H1507" s="85"/>
      <c r="I1507" s="86">
        <v>22528.29</v>
      </c>
      <c r="J1507" s="185">
        <f t="shared" si="152"/>
        <v>1295.49</v>
      </c>
      <c r="K1507" s="189">
        <f t="shared" si="153"/>
        <v>25650.7</v>
      </c>
      <c r="L1507" s="189"/>
      <c r="M1507" s="138"/>
      <c r="N1507" s="138"/>
      <c r="O1507" s="138"/>
      <c r="S1507" s="72"/>
      <c r="T1507" s="72"/>
      <c r="U1507" s="72"/>
      <c r="V1507" s="72"/>
    </row>
    <row r="1508" spans="1:22" s="63" customFormat="1" ht="22.5" x14ac:dyDescent="0.25">
      <c r="A1508" s="84">
        <v>9.4160000000000004</v>
      </c>
      <c r="B1508" s="81" t="s">
        <v>51</v>
      </c>
      <c r="C1508" s="82">
        <v>160</v>
      </c>
      <c r="D1508" s="131" t="s">
        <v>1090</v>
      </c>
      <c r="E1508" s="83" t="s">
        <v>1091</v>
      </c>
      <c r="F1508" s="81" t="s">
        <v>207</v>
      </c>
      <c r="G1508" s="87">
        <v>2.16</v>
      </c>
      <c r="H1508" s="85"/>
      <c r="I1508" s="86">
        <v>321370.71000000002</v>
      </c>
      <c r="J1508" s="185">
        <f t="shared" si="152"/>
        <v>169404.02</v>
      </c>
      <c r="K1508" s="189">
        <f t="shared" si="153"/>
        <v>365912.68</v>
      </c>
      <c r="L1508" s="189"/>
      <c r="M1508" s="138"/>
      <c r="N1508" s="138"/>
      <c r="O1508" s="138"/>
      <c r="S1508" s="72"/>
      <c r="T1508" s="72"/>
      <c r="U1508" s="72"/>
      <c r="V1508" s="72"/>
    </row>
    <row r="1509" spans="1:22" s="63" customFormat="1" ht="22.5" x14ac:dyDescent="0.25">
      <c r="A1509" s="84">
        <v>9.4169999999999998</v>
      </c>
      <c r="B1509" s="81" t="s">
        <v>51</v>
      </c>
      <c r="C1509" s="80">
        <v>160.1</v>
      </c>
      <c r="D1509" s="131" t="s">
        <v>1283</v>
      </c>
      <c r="E1509" s="83" t="s">
        <v>1284</v>
      </c>
      <c r="F1509" s="81" t="s">
        <v>370</v>
      </c>
      <c r="G1509" s="82">
        <v>216</v>
      </c>
      <c r="H1509" s="85"/>
      <c r="I1509" s="86">
        <v>236748.61</v>
      </c>
      <c r="J1509" s="185">
        <f t="shared" si="152"/>
        <v>1247.97</v>
      </c>
      <c r="K1509" s="189">
        <f t="shared" si="153"/>
        <v>269561.52</v>
      </c>
      <c r="L1509" s="189"/>
      <c r="M1509" s="138"/>
      <c r="N1509" s="138"/>
      <c r="O1509" s="138"/>
      <c r="S1509" s="72"/>
      <c r="T1509" s="72"/>
      <c r="U1509" s="72"/>
      <c r="V1509" s="72"/>
    </row>
    <row r="1510" spans="1:22" s="63" customFormat="1" ht="22.5" x14ac:dyDescent="0.25">
      <c r="A1510" s="84">
        <v>9.4179999999999993</v>
      </c>
      <c r="B1510" s="81" t="s">
        <v>51</v>
      </c>
      <c r="C1510" s="82">
        <v>161</v>
      </c>
      <c r="D1510" s="131" t="s">
        <v>1173</v>
      </c>
      <c r="E1510" s="83" t="s">
        <v>1174</v>
      </c>
      <c r="F1510" s="81" t="s">
        <v>207</v>
      </c>
      <c r="G1510" s="88">
        <v>0.36520000000000002</v>
      </c>
      <c r="H1510" s="85"/>
      <c r="I1510" s="86">
        <v>68486.509999999995</v>
      </c>
      <c r="J1510" s="185">
        <f t="shared" si="152"/>
        <v>213523.39</v>
      </c>
      <c r="K1510" s="189">
        <f t="shared" si="153"/>
        <v>77978.740000000005</v>
      </c>
      <c r="L1510" s="189"/>
      <c r="M1510" s="138"/>
      <c r="N1510" s="138"/>
      <c r="O1510" s="138"/>
      <c r="S1510" s="72"/>
      <c r="T1510" s="72"/>
      <c r="U1510" s="72"/>
      <c r="V1510" s="72"/>
    </row>
    <row r="1511" spans="1:22" s="63" customFormat="1" ht="22.5" x14ac:dyDescent="0.25">
      <c r="A1511" s="84">
        <v>9.4190000000000005</v>
      </c>
      <c r="B1511" s="81" t="s">
        <v>51</v>
      </c>
      <c r="C1511" s="80">
        <v>161.1</v>
      </c>
      <c r="D1511" s="131" t="s">
        <v>1175</v>
      </c>
      <c r="E1511" s="83" t="s">
        <v>1176</v>
      </c>
      <c r="F1511" s="81" t="s">
        <v>370</v>
      </c>
      <c r="G1511" s="87">
        <v>36.520000000000003</v>
      </c>
      <c r="H1511" s="85"/>
      <c r="I1511" s="86">
        <v>31226.61</v>
      </c>
      <c r="J1511" s="185">
        <f t="shared" si="152"/>
        <v>973.57</v>
      </c>
      <c r="K1511" s="189">
        <f t="shared" si="153"/>
        <v>35554.78</v>
      </c>
      <c r="L1511" s="189"/>
      <c r="M1511" s="138"/>
      <c r="N1511" s="138"/>
      <c r="O1511" s="138"/>
      <c r="S1511" s="72"/>
      <c r="T1511" s="72"/>
      <c r="U1511" s="72"/>
      <c r="V1511" s="72"/>
    </row>
    <row r="1512" spans="1:22" s="63" customFormat="1" ht="33.75" x14ac:dyDescent="0.25">
      <c r="A1512" s="84">
        <v>9.42</v>
      </c>
      <c r="B1512" s="81" t="s">
        <v>51</v>
      </c>
      <c r="C1512" s="80">
        <v>161.19999999999999</v>
      </c>
      <c r="D1512" s="131" t="s">
        <v>1116</v>
      </c>
      <c r="E1512" s="83" t="s">
        <v>1117</v>
      </c>
      <c r="F1512" s="81" t="s">
        <v>226</v>
      </c>
      <c r="G1512" s="80">
        <v>0.3</v>
      </c>
      <c r="H1512" s="85"/>
      <c r="I1512" s="86">
        <v>33771</v>
      </c>
      <c r="J1512" s="185">
        <f t="shared" si="152"/>
        <v>128172.2</v>
      </c>
      <c r="K1512" s="189">
        <f t="shared" si="153"/>
        <v>38451.660000000003</v>
      </c>
      <c r="L1512" s="189"/>
      <c r="M1512" s="138"/>
      <c r="N1512" s="138"/>
      <c r="O1512" s="138"/>
      <c r="S1512" s="72"/>
      <c r="T1512" s="72"/>
      <c r="U1512" s="72"/>
      <c r="V1512" s="72"/>
    </row>
    <row r="1513" spans="1:22" s="63" customFormat="1" ht="15" x14ac:dyDescent="0.25">
      <c r="A1513" s="84">
        <v>9.4209999999999994</v>
      </c>
      <c r="B1513" s="81" t="s">
        <v>51</v>
      </c>
      <c r="C1513" s="82">
        <v>162</v>
      </c>
      <c r="D1513" s="131" t="s">
        <v>1127</v>
      </c>
      <c r="E1513" s="83" t="s">
        <v>1128</v>
      </c>
      <c r="F1513" s="81" t="s">
        <v>219</v>
      </c>
      <c r="G1513" s="82">
        <v>70</v>
      </c>
      <c r="H1513" s="85"/>
      <c r="I1513" s="86">
        <v>116487.88</v>
      </c>
      <c r="J1513" s="185">
        <f t="shared" si="152"/>
        <v>1894.76</v>
      </c>
      <c r="K1513" s="189">
        <f t="shared" si="153"/>
        <v>132633.20000000001</v>
      </c>
      <c r="L1513" s="189"/>
      <c r="M1513" s="138"/>
      <c r="N1513" s="138"/>
      <c r="O1513" s="138"/>
      <c r="S1513" s="72"/>
      <c r="T1513" s="72"/>
      <c r="U1513" s="72"/>
      <c r="V1513" s="72"/>
    </row>
    <row r="1514" spans="1:22" s="63" customFormat="1" ht="22.5" x14ac:dyDescent="0.25">
      <c r="A1514" s="84">
        <v>9.4220000000000006</v>
      </c>
      <c r="B1514" s="81" t="s">
        <v>51</v>
      </c>
      <c r="C1514" s="80">
        <v>162.1</v>
      </c>
      <c r="D1514" s="131" t="s">
        <v>590</v>
      </c>
      <c r="E1514" s="83" t="s">
        <v>591</v>
      </c>
      <c r="F1514" s="81" t="s">
        <v>205</v>
      </c>
      <c r="G1514" s="84">
        <v>2.1000000000000001E-2</v>
      </c>
      <c r="H1514" s="85"/>
      <c r="I1514" s="86">
        <v>64.91</v>
      </c>
      <c r="J1514" s="185">
        <f t="shared" si="152"/>
        <v>3519.36</v>
      </c>
      <c r="K1514" s="189">
        <f t="shared" si="153"/>
        <v>73.91</v>
      </c>
      <c r="L1514" s="189"/>
      <c r="M1514" s="138"/>
      <c r="N1514" s="138"/>
      <c r="O1514" s="138"/>
      <c r="S1514" s="72"/>
      <c r="T1514" s="72"/>
      <c r="U1514" s="72"/>
      <c r="V1514" s="72"/>
    </row>
    <row r="1515" spans="1:22" s="63" customFormat="1" ht="22.5" x14ac:dyDescent="0.25">
      <c r="A1515" s="84">
        <v>9.423</v>
      </c>
      <c r="B1515" s="81" t="s">
        <v>51</v>
      </c>
      <c r="C1515" s="80">
        <v>162.19999999999999</v>
      </c>
      <c r="D1515" s="131" t="s">
        <v>1201</v>
      </c>
      <c r="E1515" s="83" t="s">
        <v>1202</v>
      </c>
      <c r="F1515" s="81" t="s">
        <v>219</v>
      </c>
      <c r="G1515" s="82">
        <v>3</v>
      </c>
      <c r="H1515" s="85"/>
      <c r="I1515" s="86">
        <v>1995.87</v>
      </c>
      <c r="J1515" s="185">
        <f t="shared" si="152"/>
        <v>757.5</v>
      </c>
      <c r="K1515" s="189">
        <f t="shared" si="153"/>
        <v>2272.5</v>
      </c>
      <c r="L1515" s="189"/>
      <c r="M1515" s="138"/>
      <c r="N1515" s="138"/>
      <c r="O1515" s="138"/>
      <c r="S1515" s="72"/>
      <c r="T1515" s="72"/>
      <c r="U1515" s="72"/>
      <c r="V1515" s="72"/>
    </row>
    <row r="1516" spans="1:22" s="63" customFormat="1" ht="22.5" x14ac:dyDescent="0.25">
      <c r="A1516" s="84">
        <v>9.4239999999999995</v>
      </c>
      <c r="B1516" s="81" t="s">
        <v>51</v>
      </c>
      <c r="C1516" s="80">
        <v>162.30000000000001</v>
      </c>
      <c r="D1516" s="131" t="s">
        <v>1201</v>
      </c>
      <c r="E1516" s="83" t="s">
        <v>1202</v>
      </c>
      <c r="F1516" s="81" t="s">
        <v>219</v>
      </c>
      <c r="G1516" s="82">
        <v>7</v>
      </c>
      <c r="H1516" s="85"/>
      <c r="I1516" s="86">
        <v>4657.03</v>
      </c>
      <c r="J1516" s="185">
        <f t="shared" si="152"/>
        <v>757.5</v>
      </c>
      <c r="K1516" s="189">
        <f t="shared" si="153"/>
        <v>5302.5</v>
      </c>
      <c r="L1516" s="189"/>
      <c r="M1516" s="138"/>
      <c r="N1516" s="138"/>
      <c r="O1516" s="138"/>
      <c r="S1516" s="72"/>
      <c r="T1516" s="72"/>
      <c r="U1516" s="72"/>
      <c r="V1516" s="72"/>
    </row>
    <row r="1517" spans="1:22" s="63" customFormat="1" ht="22.5" x14ac:dyDescent="0.25">
      <c r="A1517" s="84">
        <v>9.4250000000000007</v>
      </c>
      <c r="B1517" s="81" t="s">
        <v>51</v>
      </c>
      <c r="C1517" s="80">
        <v>162.4</v>
      </c>
      <c r="D1517" s="131" t="s">
        <v>1129</v>
      </c>
      <c r="E1517" s="83" t="s">
        <v>1130</v>
      </c>
      <c r="F1517" s="81" t="s">
        <v>219</v>
      </c>
      <c r="G1517" s="82">
        <v>14</v>
      </c>
      <c r="H1517" s="85"/>
      <c r="I1517" s="86">
        <v>9409.7800000000007</v>
      </c>
      <c r="J1517" s="185">
        <f t="shared" si="152"/>
        <v>765.28</v>
      </c>
      <c r="K1517" s="189">
        <f t="shared" si="153"/>
        <v>10713.92</v>
      </c>
      <c r="L1517" s="189"/>
      <c r="M1517" s="138"/>
      <c r="N1517" s="138"/>
      <c r="O1517" s="138"/>
      <c r="S1517" s="72"/>
      <c r="T1517" s="72"/>
      <c r="U1517" s="72"/>
      <c r="V1517" s="72"/>
    </row>
    <row r="1518" spans="1:22" s="63" customFormat="1" ht="22.5" x14ac:dyDescent="0.25">
      <c r="A1518" s="84">
        <v>9.4260000000000002</v>
      </c>
      <c r="B1518" s="81" t="s">
        <v>51</v>
      </c>
      <c r="C1518" s="80">
        <v>162.5</v>
      </c>
      <c r="D1518" s="131" t="s">
        <v>1201</v>
      </c>
      <c r="E1518" s="83" t="s">
        <v>1202</v>
      </c>
      <c r="F1518" s="81" t="s">
        <v>219</v>
      </c>
      <c r="G1518" s="82">
        <v>1</v>
      </c>
      <c r="H1518" s="85"/>
      <c r="I1518" s="86">
        <v>665.29</v>
      </c>
      <c r="J1518" s="185">
        <f t="shared" si="152"/>
        <v>757.5</v>
      </c>
      <c r="K1518" s="189">
        <f t="shared" si="153"/>
        <v>757.5</v>
      </c>
      <c r="L1518" s="189"/>
      <c r="M1518" s="138"/>
      <c r="N1518" s="138"/>
      <c r="O1518" s="138"/>
      <c r="S1518" s="72"/>
      <c r="T1518" s="72"/>
      <c r="U1518" s="72"/>
      <c r="V1518" s="72"/>
    </row>
    <row r="1519" spans="1:22" s="63" customFormat="1" ht="22.5" x14ac:dyDescent="0.25">
      <c r="A1519" s="84">
        <v>9.4269999999999996</v>
      </c>
      <c r="B1519" s="81" t="s">
        <v>51</v>
      </c>
      <c r="C1519" s="80">
        <v>162.6</v>
      </c>
      <c r="D1519" s="131" t="s">
        <v>1285</v>
      </c>
      <c r="E1519" s="83" t="s">
        <v>1286</v>
      </c>
      <c r="F1519" s="81" t="s">
        <v>219</v>
      </c>
      <c r="G1519" s="82">
        <v>1</v>
      </c>
      <c r="H1519" s="85"/>
      <c r="I1519" s="86">
        <v>885.87</v>
      </c>
      <c r="J1519" s="185">
        <f t="shared" si="152"/>
        <v>1008.65</v>
      </c>
      <c r="K1519" s="189">
        <f t="shared" si="153"/>
        <v>1008.65</v>
      </c>
      <c r="L1519" s="189"/>
      <c r="M1519" s="138"/>
      <c r="N1519" s="138"/>
      <c r="O1519" s="138"/>
      <c r="S1519" s="72"/>
      <c r="T1519" s="72"/>
      <c r="U1519" s="72"/>
      <c r="V1519" s="72"/>
    </row>
    <row r="1520" spans="1:22" s="63" customFormat="1" ht="22.5" x14ac:dyDescent="0.25">
      <c r="A1520" s="84">
        <v>9.4280000000000008</v>
      </c>
      <c r="B1520" s="81" t="s">
        <v>51</v>
      </c>
      <c r="C1520" s="80">
        <v>162.69999999999999</v>
      </c>
      <c r="D1520" s="131" t="s">
        <v>1285</v>
      </c>
      <c r="E1520" s="83" t="s">
        <v>1286</v>
      </c>
      <c r="F1520" s="81" t="s">
        <v>219</v>
      </c>
      <c r="G1520" s="82">
        <v>10</v>
      </c>
      <c r="H1520" s="85"/>
      <c r="I1520" s="86">
        <v>8858.69</v>
      </c>
      <c r="J1520" s="185">
        <f t="shared" si="152"/>
        <v>1008.65</v>
      </c>
      <c r="K1520" s="189">
        <f t="shared" si="153"/>
        <v>10086.5</v>
      </c>
      <c r="L1520" s="189"/>
      <c r="M1520" s="138"/>
      <c r="N1520" s="138"/>
      <c r="O1520" s="138"/>
      <c r="S1520" s="72"/>
      <c r="T1520" s="72"/>
      <c r="U1520" s="72"/>
      <c r="V1520" s="72"/>
    </row>
    <row r="1521" spans="1:22" s="63" customFormat="1" ht="22.5" x14ac:dyDescent="0.25">
      <c r="A1521" s="84">
        <v>9.4290000000000003</v>
      </c>
      <c r="B1521" s="81" t="s">
        <v>51</v>
      </c>
      <c r="C1521" s="80">
        <v>162.80000000000001</v>
      </c>
      <c r="D1521" s="131" t="s">
        <v>1287</v>
      </c>
      <c r="E1521" s="83" t="s">
        <v>1288</v>
      </c>
      <c r="F1521" s="81" t="s">
        <v>219</v>
      </c>
      <c r="G1521" s="82">
        <v>4</v>
      </c>
      <c r="H1521" s="85"/>
      <c r="I1521" s="86">
        <v>3872.39</v>
      </c>
      <c r="J1521" s="185">
        <f t="shared" si="152"/>
        <v>1102.28</v>
      </c>
      <c r="K1521" s="189">
        <f t="shared" si="153"/>
        <v>4409.12</v>
      </c>
      <c r="L1521" s="189"/>
      <c r="M1521" s="138"/>
      <c r="N1521" s="138"/>
      <c r="O1521" s="138"/>
      <c r="S1521" s="72"/>
      <c r="T1521" s="72"/>
      <c r="U1521" s="72"/>
      <c r="V1521" s="72"/>
    </row>
    <row r="1522" spans="1:22" s="63" customFormat="1" ht="22.5" x14ac:dyDescent="0.25">
      <c r="A1522" s="84">
        <v>9.43</v>
      </c>
      <c r="B1522" s="81" t="s">
        <v>51</v>
      </c>
      <c r="C1522" s="80">
        <v>162.9</v>
      </c>
      <c r="D1522" s="131" t="s">
        <v>1289</v>
      </c>
      <c r="E1522" s="83" t="s">
        <v>1290</v>
      </c>
      <c r="F1522" s="81" t="s">
        <v>219</v>
      </c>
      <c r="G1522" s="82">
        <v>3</v>
      </c>
      <c r="H1522" s="85"/>
      <c r="I1522" s="86">
        <v>3361.44</v>
      </c>
      <c r="J1522" s="185">
        <f t="shared" si="152"/>
        <v>1275.78</v>
      </c>
      <c r="K1522" s="189">
        <f t="shared" si="153"/>
        <v>3827.34</v>
      </c>
      <c r="L1522" s="189"/>
      <c r="M1522" s="138"/>
      <c r="N1522" s="138"/>
      <c r="O1522" s="138"/>
      <c r="S1522" s="72"/>
      <c r="T1522" s="72"/>
      <c r="U1522" s="72"/>
      <c r="V1522" s="72"/>
    </row>
    <row r="1523" spans="1:22" s="63" customFormat="1" ht="22.5" x14ac:dyDescent="0.25">
      <c r="A1523" s="84">
        <v>9.4309999999999992</v>
      </c>
      <c r="B1523" s="81" t="s">
        <v>51</v>
      </c>
      <c r="C1523" s="87">
        <v>162.1</v>
      </c>
      <c r="D1523" s="131" t="s">
        <v>1287</v>
      </c>
      <c r="E1523" s="83" t="s">
        <v>1288</v>
      </c>
      <c r="F1523" s="81" t="s">
        <v>219</v>
      </c>
      <c r="G1523" s="82">
        <v>11</v>
      </c>
      <c r="H1523" s="85"/>
      <c r="I1523" s="86">
        <v>10649.07</v>
      </c>
      <c r="J1523" s="185">
        <f t="shared" si="152"/>
        <v>1102.28</v>
      </c>
      <c r="K1523" s="189">
        <f t="shared" si="153"/>
        <v>12125.08</v>
      </c>
      <c r="L1523" s="189"/>
      <c r="M1523" s="138"/>
      <c r="N1523" s="138"/>
      <c r="O1523" s="138"/>
      <c r="S1523" s="72"/>
      <c r="T1523" s="72"/>
      <c r="U1523" s="72"/>
      <c r="V1523" s="72"/>
    </row>
    <row r="1524" spans="1:22" s="63" customFormat="1" ht="22.5" x14ac:dyDescent="0.25">
      <c r="A1524" s="84">
        <v>9.4320000000000004</v>
      </c>
      <c r="B1524" s="81" t="s">
        <v>51</v>
      </c>
      <c r="C1524" s="87">
        <v>162.11000000000001</v>
      </c>
      <c r="D1524" s="131" t="s">
        <v>1287</v>
      </c>
      <c r="E1524" s="83" t="s">
        <v>1288</v>
      </c>
      <c r="F1524" s="81" t="s">
        <v>219</v>
      </c>
      <c r="G1524" s="82">
        <v>11</v>
      </c>
      <c r="H1524" s="85"/>
      <c r="I1524" s="86">
        <v>10649.07</v>
      </c>
      <c r="J1524" s="185">
        <f t="shared" si="152"/>
        <v>1102.28</v>
      </c>
      <c r="K1524" s="189">
        <f t="shared" si="153"/>
        <v>12125.08</v>
      </c>
      <c r="L1524" s="189"/>
      <c r="M1524" s="138"/>
      <c r="N1524" s="138"/>
      <c r="O1524" s="138"/>
      <c r="S1524" s="72"/>
      <c r="T1524" s="72"/>
      <c r="U1524" s="72"/>
      <c r="V1524" s="72"/>
    </row>
    <row r="1525" spans="1:22" s="63" customFormat="1" ht="22.5" x14ac:dyDescent="0.25">
      <c r="A1525" s="84">
        <v>9.4329999999999998</v>
      </c>
      <c r="B1525" s="81" t="s">
        <v>51</v>
      </c>
      <c r="C1525" s="82">
        <v>163</v>
      </c>
      <c r="D1525" s="131" t="s">
        <v>1186</v>
      </c>
      <c r="E1525" s="83" t="s">
        <v>1187</v>
      </c>
      <c r="F1525" s="81" t="s">
        <v>219</v>
      </c>
      <c r="G1525" s="82">
        <v>7</v>
      </c>
      <c r="H1525" s="85"/>
      <c r="I1525" s="86">
        <v>34340.21</v>
      </c>
      <c r="J1525" s="185">
        <f t="shared" si="152"/>
        <v>5585.68</v>
      </c>
      <c r="K1525" s="189">
        <f t="shared" si="153"/>
        <v>39099.760000000002</v>
      </c>
      <c r="L1525" s="189"/>
      <c r="M1525" s="138"/>
      <c r="N1525" s="138"/>
      <c r="O1525" s="138"/>
      <c r="S1525" s="72"/>
      <c r="T1525" s="72"/>
      <c r="U1525" s="72"/>
      <c r="V1525" s="72"/>
    </row>
    <row r="1526" spans="1:22" s="63" customFormat="1" ht="22.5" x14ac:dyDescent="0.25">
      <c r="A1526" s="84">
        <v>9.4339999999999993</v>
      </c>
      <c r="B1526" s="81" t="s">
        <v>51</v>
      </c>
      <c r="C1526" s="80">
        <v>163.1</v>
      </c>
      <c r="D1526" s="131" t="s">
        <v>1137</v>
      </c>
      <c r="E1526" s="83" t="s">
        <v>1138</v>
      </c>
      <c r="F1526" s="81" t="s">
        <v>334</v>
      </c>
      <c r="G1526" s="80">
        <v>65.099999999999994</v>
      </c>
      <c r="H1526" s="85"/>
      <c r="I1526" s="86">
        <v>6954.37</v>
      </c>
      <c r="J1526" s="185">
        <f t="shared" si="152"/>
        <v>121.63</v>
      </c>
      <c r="K1526" s="189">
        <f t="shared" si="153"/>
        <v>7918.11</v>
      </c>
      <c r="L1526" s="189"/>
      <c r="M1526" s="138"/>
      <c r="N1526" s="138"/>
      <c r="O1526" s="138"/>
      <c r="S1526" s="72"/>
      <c r="T1526" s="72"/>
      <c r="U1526" s="72"/>
      <c r="V1526" s="72"/>
    </row>
    <row r="1527" spans="1:22" s="63" customFormat="1" ht="22.5" x14ac:dyDescent="0.25">
      <c r="A1527" s="84">
        <v>9.4350000000000005</v>
      </c>
      <c r="B1527" s="81" t="s">
        <v>51</v>
      </c>
      <c r="C1527" s="80">
        <v>163.19999999999999</v>
      </c>
      <c r="D1527" s="131" t="s">
        <v>1139</v>
      </c>
      <c r="E1527" s="83" t="s">
        <v>1140</v>
      </c>
      <c r="F1527" s="81" t="s">
        <v>566</v>
      </c>
      <c r="G1527" s="80">
        <v>1.4</v>
      </c>
      <c r="H1527" s="85"/>
      <c r="I1527" s="86">
        <v>2936.44</v>
      </c>
      <c r="J1527" s="185">
        <f t="shared" si="152"/>
        <v>2388.16</v>
      </c>
      <c r="K1527" s="189">
        <f t="shared" si="153"/>
        <v>3343.42</v>
      </c>
      <c r="L1527" s="189"/>
      <c r="M1527" s="138"/>
      <c r="N1527" s="138"/>
      <c r="O1527" s="138"/>
      <c r="S1527" s="72"/>
      <c r="T1527" s="72"/>
      <c r="U1527" s="72"/>
      <c r="V1527" s="72"/>
    </row>
    <row r="1528" spans="1:22" s="63" customFormat="1" ht="22.5" x14ac:dyDescent="0.25">
      <c r="A1528" s="84">
        <v>9.4359999999999999</v>
      </c>
      <c r="B1528" s="81" t="s">
        <v>51</v>
      </c>
      <c r="C1528" s="80">
        <v>163.30000000000001</v>
      </c>
      <c r="D1528" s="131" t="s">
        <v>1291</v>
      </c>
      <c r="E1528" s="83" t="s">
        <v>3624</v>
      </c>
      <c r="F1528" s="81" t="s">
        <v>219</v>
      </c>
      <c r="G1528" s="82">
        <v>1</v>
      </c>
      <c r="H1528" s="85"/>
      <c r="I1528" s="86">
        <v>11456.98</v>
      </c>
      <c r="J1528" s="185">
        <f t="shared" si="152"/>
        <v>13044.92</v>
      </c>
      <c r="K1528" s="189">
        <f t="shared" si="153"/>
        <v>13044.92</v>
      </c>
      <c r="L1528" s="189"/>
      <c r="M1528" s="138"/>
      <c r="N1528" s="138"/>
      <c r="O1528" s="138"/>
      <c r="S1528" s="72"/>
      <c r="T1528" s="72"/>
      <c r="U1528" s="72"/>
      <c r="V1528" s="72"/>
    </row>
    <row r="1529" spans="1:22" s="63" customFormat="1" ht="22.5" x14ac:dyDescent="0.25">
      <c r="A1529" s="108">
        <v>9.4369999999999994</v>
      </c>
      <c r="B1529" s="102" t="s">
        <v>51</v>
      </c>
      <c r="C1529" s="103">
        <v>163.4</v>
      </c>
      <c r="D1529" s="167" t="s">
        <v>1262</v>
      </c>
      <c r="E1529" s="104" t="s">
        <v>1263</v>
      </c>
      <c r="F1529" s="102" t="s">
        <v>219</v>
      </c>
      <c r="G1529" s="105">
        <v>4</v>
      </c>
      <c r="H1529" s="106"/>
      <c r="I1529" s="107">
        <v>51230.239999999998</v>
      </c>
      <c r="J1529" s="192">
        <f>ROUND($I1529/$G1529*$N$12,2)</f>
        <v>14325.26</v>
      </c>
      <c r="K1529" s="193">
        <f t="shared" si="153"/>
        <v>57301.04</v>
      </c>
      <c r="L1529" s="193"/>
      <c r="M1529" s="138"/>
      <c r="N1529" s="138"/>
      <c r="O1529" s="138"/>
      <c r="S1529" s="72"/>
      <c r="T1529" s="72"/>
      <c r="U1529" s="72"/>
      <c r="V1529" s="72"/>
    </row>
    <row r="1530" spans="1:22" s="63" customFormat="1" ht="22.5" x14ac:dyDescent="0.25">
      <c r="A1530" s="84">
        <v>9.4380000000000006</v>
      </c>
      <c r="B1530" s="81" t="s">
        <v>51</v>
      </c>
      <c r="C1530" s="80">
        <v>163.5</v>
      </c>
      <c r="D1530" s="131" t="s">
        <v>1292</v>
      </c>
      <c r="E1530" s="83" t="s">
        <v>3625</v>
      </c>
      <c r="F1530" s="81" t="s">
        <v>219</v>
      </c>
      <c r="G1530" s="82">
        <v>1</v>
      </c>
      <c r="H1530" s="85"/>
      <c r="I1530" s="86">
        <v>7892.54</v>
      </c>
      <c r="J1530" s="185">
        <f>ROUND($I1530/$G1530*$N$11,2)</f>
        <v>8986.4500000000007</v>
      </c>
      <c r="K1530" s="189">
        <f t="shared" si="153"/>
        <v>8986.4500000000007</v>
      </c>
      <c r="L1530" s="189"/>
      <c r="M1530" s="138"/>
      <c r="N1530" s="138"/>
      <c r="O1530" s="138"/>
      <c r="S1530" s="72"/>
      <c r="T1530" s="72"/>
      <c r="U1530" s="72"/>
      <c r="V1530" s="72"/>
    </row>
    <row r="1531" spans="1:22" s="63" customFormat="1" ht="22.5" x14ac:dyDescent="0.25">
      <c r="A1531" s="108">
        <v>9.4390000000000001</v>
      </c>
      <c r="B1531" s="102" t="s">
        <v>51</v>
      </c>
      <c r="C1531" s="103">
        <v>163.6</v>
      </c>
      <c r="D1531" s="167" t="s">
        <v>1211</v>
      </c>
      <c r="E1531" s="104" t="s">
        <v>1212</v>
      </c>
      <c r="F1531" s="102" t="s">
        <v>219</v>
      </c>
      <c r="G1531" s="105">
        <v>1</v>
      </c>
      <c r="H1531" s="106"/>
      <c r="I1531" s="107">
        <v>12982.65</v>
      </c>
      <c r="J1531" s="192">
        <f>ROUND($I1531/$G1531*$N$12,2)</f>
        <v>14521.09</v>
      </c>
      <c r="K1531" s="193">
        <f t="shared" si="153"/>
        <v>14521.09</v>
      </c>
      <c r="L1531" s="193"/>
      <c r="M1531" s="138"/>
      <c r="N1531" s="138"/>
      <c r="O1531" s="138"/>
      <c r="S1531" s="72"/>
      <c r="T1531" s="72"/>
      <c r="U1531" s="72"/>
      <c r="V1531" s="72"/>
    </row>
    <row r="1532" spans="1:22" s="63" customFormat="1" ht="22.5" x14ac:dyDescent="0.25">
      <c r="A1532" s="84">
        <v>9.44</v>
      </c>
      <c r="B1532" s="81" t="s">
        <v>51</v>
      </c>
      <c r="C1532" s="82">
        <v>164</v>
      </c>
      <c r="D1532" s="131" t="s">
        <v>1151</v>
      </c>
      <c r="E1532" s="83" t="s">
        <v>1152</v>
      </c>
      <c r="F1532" s="81" t="s">
        <v>205</v>
      </c>
      <c r="G1532" s="80">
        <v>0.9</v>
      </c>
      <c r="H1532" s="85"/>
      <c r="I1532" s="86">
        <v>23044.880000000001</v>
      </c>
      <c r="J1532" s="185">
        <f>ROUND($I1532/$G1532*$N$11,2)</f>
        <v>29154.33</v>
      </c>
      <c r="K1532" s="189">
        <f t="shared" si="153"/>
        <v>26238.9</v>
      </c>
      <c r="L1532" s="189"/>
      <c r="M1532" s="138"/>
      <c r="N1532" s="138"/>
      <c r="O1532" s="138"/>
      <c r="S1532" s="72"/>
      <c r="T1532" s="72"/>
      <c r="U1532" s="72"/>
      <c r="V1532" s="72"/>
    </row>
    <row r="1533" spans="1:22" s="63" customFormat="1" ht="22.5" x14ac:dyDescent="0.25">
      <c r="A1533" s="84">
        <v>9.4410000000000007</v>
      </c>
      <c r="B1533" s="81" t="s">
        <v>51</v>
      </c>
      <c r="C1533" s="80">
        <v>164.1</v>
      </c>
      <c r="D1533" s="131" t="s">
        <v>1153</v>
      </c>
      <c r="E1533" s="83" t="s">
        <v>3573</v>
      </c>
      <c r="F1533" s="81" t="s">
        <v>370</v>
      </c>
      <c r="G1533" s="80">
        <v>31.5</v>
      </c>
      <c r="H1533" s="85"/>
      <c r="I1533" s="86">
        <v>11157.45</v>
      </c>
      <c r="J1533" s="185">
        <f>ROUND($I1533/$G1533*$N$11,2)</f>
        <v>403.3</v>
      </c>
      <c r="K1533" s="189">
        <f t="shared" si="153"/>
        <v>12703.95</v>
      </c>
      <c r="L1533" s="189"/>
      <c r="M1533" s="138"/>
      <c r="N1533" s="138"/>
      <c r="O1533" s="138"/>
      <c r="S1533" s="72"/>
      <c r="T1533" s="72"/>
      <c r="U1533" s="72"/>
      <c r="V1533" s="72"/>
    </row>
    <row r="1534" spans="1:22" s="128" customFormat="1" ht="12.75" x14ac:dyDescent="0.25">
      <c r="A1534" s="242"/>
      <c r="B1534" s="125"/>
      <c r="C1534" s="236"/>
      <c r="D1534" s="77"/>
      <c r="E1534" s="126" t="s">
        <v>3305</v>
      </c>
      <c r="F1534" s="125"/>
      <c r="G1534" s="236"/>
      <c r="H1534" s="127"/>
      <c r="I1534" s="78"/>
      <c r="J1534" s="238"/>
      <c r="K1534" s="239"/>
      <c r="L1534" s="239"/>
      <c r="M1534" s="79"/>
      <c r="N1534" s="79"/>
      <c r="O1534" s="79"/>
      <c r="S1534" s="129"/>
      <c r="T1534" s="129"/>
      <c r="U1534" s="129"/>
      <c r="V1534" s="129"/>
    </row>
    <row r="1535" spans="1:22" s="128" customFormat="1" ht="12.75" x14ac:dyDescent="0.25">
      <c r="A1535" s="242"/>
      <c r="B1535" s="125"/>
      <c r="C1535" s="236"/>
      <c r="D1535" s="77"/>
      <c r="E1535" s="126" t="s">
        <v>3304</v>
      </c>
      <c r="F1535" s="125"/>
      <c r="G1535" s="236"/>
      <c r="H1535" s="127"/>
      <c r="I1535" s="78"/>
      <c r="J1535" s="238"/>
      <c r="K1535" s="239"/>
      <c r="L1535" s="239"/>
      <c r="M1535" s="79"/>
      <c r="N1535" s="79"/>
      <c r="O1535" s="79"/>
      <c r="S1535" s="129"/>
      <c r="T1535" s="129"/>
      <c r="U1535" s="129"/>
      <c r="V1535" s="129"/>
    </row>
    <row r="1536" spans="1:22" s="63" customFormat="1" ht="15" x14ac:dyDescent="0.25">
      <c r="A1536" s="84">
        <v>9.4420000000000002</v>
      </c>
      <c r="B1536" s="81" t="s">
        <v>51</v>
      </c>
      <c r="C1536" s="82">
        <v>165</v>
      </c>
      <c r="D1536" s="131" t="s">
        <v>1293</v>
      </c>
      <c r="E1536" s="83" t="s">
        <v>1294</v>
      </c>
      <c r="F1536" s="81" t="s">
        <v>219</v>
      </c>
      <c r="G1536" s="82">
        <v>1</v>
      </c>
      <c r="H1536" s="85"/>
      <c r="I1536" s="86">
        <v>11159.2</v>
      </c>
      <c r="J1536" s="185">
        <f>ROUND($I1536/$G1536*$N$11,2)</f>
        <v>12705.87</v>
      </c>
      <c r="K1536" s="189">
        <f t="shared" ref="K1536:K1559" si="154">ROUND(G1536*J1536,2)</f>
        <v>12705.87</v>
      </c>
      <c r="L1536" s="189"/>
      <c r="M1536" s="138"/>
      <c r="N1536" s="138"/>
      <c r="O1536" s="138"/>
      <c r="S1536" s="72"/>
      <c r="T1536" s="72"/>
      <c r="U1536" s="72"/>
      <c r="V1536" s="72"/>
    </row>
    <row r="1537" spans="1:22" s="63" customFormat="1" ht="22.5" x14ac:dyDescent="0.25">
      <c r="A1537" s="84">
        <v>9.4429999999999996</v>
      </c>
      <c r="B1537" s="81" t="s">
        <v>51</v>
      </c>
      <c r="C1537" s="80">
        <v>165.1</v>
      </c>
      <c r="D1537" s="131" t="s">
        <v>1071</v>
      </c>
      <c r="E1537" s="83" t="s">
        <v>1072</v>
      </c>
      <c r="F1537" s="81" t="s">
        <v>226</v>
      </c>
      <c r="G1537" s="88">
        <v>2.0999999999999999E-3</v>
      </c>
      <c r="H1537" s="85"/>
      <c r="I1537" s="86">
        <v>280.08</v>
      </c>
      <c r="J1537" s="185">
        <f>ROUND($I1537/$G1537*$N$11,2)</f>
        <v>151856.71</v>
      </c>
      <c r="K1537" s="189">
        <f t="shared" si="154"/>
        <v>318.89999999999998</v>
      </c>
      <c r="L1537" s="189"/>
      <c r="M1537" s="138"/>
      <c r="N1537" s="138"/>
      <c r="O1537" s="138"/>
      <c r="S1537" s="72"/>
      <c r="T1537" s="72"/>
      <c r="U1537" s="72"/>
      <c r="V1537" s="72"/>
    </row>
    <row r="1538" spans="1:22" s="63" customFormat="1" ht="22.5" x14ac:dyDescent="0.25">
      <c r="A1538" s="108">
        <v>9.4440000000000008</v>
      </c>
      <c r="B1538" s="102" t="s">
        <v>51</v>
      </c>
      <c r="C1538" s="103">
        <v>165.2</v>
      </c>
      <c r="D1538" s="167" t="s">
        <v>1295</v>
      </c>
      <c r="E1538" s="104" t="s">
        <v>3626</v>
      </c>
      <c r="F1538" s="102" t="s">
        <v>219</v>
      </c>
      <c r="G1538" s="105">
        <v>1</v>
      </c>
      <c r="H1538" s="106"/>
      <c r="I1538" s="107">
        <v>55659.13</v>
      </c>
      <c r="J1538" s="192">
        <f>ROUND($I1538/$G1538*$N$12,2)</f>
        <v>62254.74</v>
      </c>
      <c r="K1538" s="193">
        <f t="shared" si="154"/>
        <v>62254.74</v>
      </c>
      <c r="L1538" s="193"/>
      <c r="M1538" s="138"/>
      <c r="N1538" s="138"/>
      <c r="O1538" s="138"/>
      <c r="S1538" s="110"/>
      <c r="T1538" s="72"/>
      <c r="U1538" s="72"/>
      <c r="V1538" s="72"/>
    </row>
    <row r="1539" spans="1:22" s="63" customFormat="1" ht="15" x14ac:dyDescent="0.25">
      <c r="A1539" s="84">
        <v>9.4450000000000003</v>
      </c>
      <c r="B1539" s="81" t="s">
        <v>51</v>
      </c>
      <c r="C1539" s="82">
        <v>166</v>
      </c>
      <c r="D1539" s="131" t="s">
        <v>1273</v>
      </c>
      <c r="E1539" s="83" t="s">
        <v>1274</v>
      </c>
      <c r="F1539" s="81" t="s">
        <v>370</v>
      </c>
      <c r="G1539" s="87">
        <v>0.66</v>
      </c>
      <c r="H1539" s="85"/>
      <c r="I1539" s="86">
        <v>4095.47</v>
      </c>
      <c r="J1539" s="185">
        <f>ROUND($I1539/$G1539*$N$11,2)</f>
        <v>7065.31</v>
      </c>
      <c r="K1539" s="189">
        <f t="shared" si="154"/>
        <v>4663.1000000000004</v>
      </c>
      <c r="L1539" s="189"/>
      <c r="M1539" s="138"/>
      <c r="N1539" s="138"/>
      <c r="O1539" s="138"/>
      <c r="S1539" s="72"/>
      <c r="T1539" s="72"/>
      <c r="U1539" s="72"/>
      <c r="V1539" s="72"/>
    </row>
    <row r="1540" spans="1:22" s="63" customFormat="1" ht="22.5" x14ac:dyDescent="0.25">
      <c r="A1540" s="84">
        <v>9.4459999999999997</v>
      </c>
      <c r="B1540" s="81" t="s">
        <v>51</v>
      </c>
      <c r="C1540" s="80">
        <v>166.1</v>
      </c>
      <c r="D1540" s="131" t="s">
        <v>1296</v>
      </c>
      <c r="E1540" s="83" t="s">
        <v>3627</v>
      </c>
      <c r="F1540" s="81" t="s">
        <v>219</v>
      </c>
      <c r="G1540" s="82">
        <v>1</v>
      </c>
      <c r="H1540" s="85"/>
      <c r="I1540" s="86">
        <v>8302.09</v>
      </c>
      <c r="J1540" s="185">
        <f>ROUND($I1540/$G1540*$N$11,2)</f>
        <v>9452.76</v>
      </c>
      <c r="K1540" s="189">
        <f t="shared" si="154"/>
        <v>9452.76</v>
      </c>
      <c r="L1540" s="189"/>
      <c r="M1540" s="138"/>
      <c r="N1540" s="138"/>
      <c r="O1540" s="138"/>
      <c r="S1540" s="72"/>
      <c r="T1540" s="72"/>
      <c r="U1540" s="72"/>
      <c r="V1540" s="72"/>
    </row>
    <row r="1541" spans="1:22" s="63" customFormat="1" ht="22.5" x14ac:dyDescent="0.25">
      <c r="A1541" s="84">
        <v>9.4469999999999992</v>
      </c>
      <c r="B1541" s="81" t="s">
        <v>51</v>
      </c>
      <c r="C1541" s="80">
        <v>166.2</v>
      </c>
      <c r="D1541" s="131" t="s">
        <v>1297</v>
      </c>
      <c r="E1541" s="83" t="s">
        <v>3628</v>
      </c>
      <c r="F1541" s="81" t="s">
        <v>219</v>
      </c>
      <c r="G1541" s="82">
        <v>1</v>
      </c>
      <c r="H1541" s="85"/>
      <c r="I1541" s="86">
        <v>11900.53</v>
      </c>
      <c r="J1541" s="185">
        <f>ROUND($I1541/$G1541*$N$11,2)</f>
        <v>13549.94</v>
      </c>
      <c r="K1541" s="189">
        <f t="shared" si="154"/>
        <v>13549.94</v>
      </c>
      <c r="L1541" s="189"/>
      <c r="M1541" s="138"/>
      <c r="N1541" s="138"/>
      <c r="O1541" s="138"/>
      <c r="S1541" s="72"/>
      <c r="T1541" s="72"/>
      <c r="U1541" s="72"/>
      <c r="V1541" s="72"/>
    </row>
    <row r="1542" spans="1:22" s="63" customFormat="1" ht="22.5" x14ac:dyDescent="0.25">
      <c r="A1542" s="84">
        <v>9.4480000000000004</v>
      </c>
      <c r="B1542" s="81" t="s">
        <v>51</v>
      </c>
      <c r="C1542" s="82">
        <v>167</v>
      </c>
      <c r="D1542" s="131" t="s">
        <v>783</v>
      </c>
      <c r="E1542" s="83" t="s">
        <v>1078</v>
      </c>
      <c r="F1542" s="81" t="s">
        <v>219</v>
      </c>
      <c r="G1542" s="82">
        <v>1</v>
      </c>
      <c r="H1542" s="85"/>
      <c r="I1542" s="86">
        <v>3276.2</v>
      </c>
      <c r="J1542" s="185">
        <f>ROUND($I1542/$G1542*$N$11,2)</f>
        <v>3730.28</v>
      </c>
      <c r="K1542" s="189">
        <f t="shared" si="154"/>
        <v>3730.28</v>
      </c>
      <c r="L1542" s="189"/>
      <c r="M1542" s="138"/>
      <c r="N1542" s="138"/>
      <c r="O1542" s="138"/>
      <c r="S1542" s="72"/>
      <c r="T1542" s="72"/>
      <c r="U1542" s="72"/>
      <c r="V1542" s="72"/>
    </row>
    <row r="1543" spans="1:22" s="63" customFormat="1" ht="15" x14ac:dyDescent="0.25">
      <c r="A1543" s="108">
        <v>9.4489999999999998</v>
      </c>
      <c r="B1543" s="102" t="s">
        <v>51</v>
      </c>
      <c r="C1543" s="103">
        <v>167.1</v>
      </c>
      <c r="D1543" s="167" t="s">
        <v>1298</v>
      </c>
      <c r="E1543" s="104" t="s">
        <v>3629</v>
      </c>
      <c r="F1543" s="102" t="s">
        <v>219</v>
      </c>
      <c r="G1543" s="105">
        <v>1</v>
      </c>
      <c r="H1543" s="106"/>
      <c r="I1543" s="107">
        <v>21212.97</v>
      </c>
      <c r="J1543" s="192">
        <f>ROUND($I1543/$G1543*$N$12,2)</f>
        <v>23726.71</v>
      </c>
      <c r="K1543" s="193">
        <f t="shared" si="154"/>
        <v>23726.71</v>
      </c>
      <c r="L1543" s="193"/>
      <c r="M1543" s="138"/>
      <c r="N1543" s="138"/>
      <c r="O1543" s="138"/>
      <c r="S1543" s="110"/>
      <c r="T1543" s="72"/>
      <c r="U1543" s="72"/>
      <c r="V1543" s="72"/>
    </row>
    <row r="1544" spans="1:22" s="63" customFormat="1" ht="22.5" x14ac:dyDescent="0.25">
      <c r="A1544" s="84">
        <v>9.4499999999999993</v>
      </c>
      <c r="B1544" s="81" t="s">
        <v>51</v>
      </c>
      <c r="C1544" s="82">
        <v>168</v>
      </c>
      <c r="D1544" s="131" t="s">
        <v>1299</v>
      </c>
      <c r="E1544" s="83" t="s">
        <v>1300</v>
      </c>
      <c r="F1544" s="81" t="s">
        <v>207</v>
      </c>
      <c r="G1544" s="80">
        <v>0.8</v>
      </c>
      <c r="H1544" s="85"/>
      <c r="I1544" s="86">
        <v>66169.72</v>
      </c>
      <c r="J1544" s="185">
        <f t="shared" ref="J1544:J1559" si="155">ROUND($I1544/$G1544*$N$11,2)</f>
        <v>94176.05</v>
      </c>
      <c r="K1544" s="189">
        <f t="shared" si="154"/>
        <v>75340.84</v>
      </c>
      <c r="L1544" s="189"/>
      <c r="M1544" s="138"/>
      <c r="N1544" s="138"/>
      <c r="O1544" s="138"/>
      <c r="S1544" s="72"/>
      <c r="T1544" s="72"/>
      <c r="U1544" s="72"/>
      <c r="V1544" s="72"/>
    </row>
    <row r="1545" spans="1:22" s="63" customFormat="1" ht="22.5" x14ac:dyDescent="0.25">
      <c r="A1545" s="84">
        <v>9.4510000000000005</v>
      </c>
      <c r="B1545" s="81" t="s">
        <v>51</v>
      </c>
      <c r="C1545" s="80">
        <v>168.1</v>
      </c>
      <c r="D1545" s="131" t="s">
        <v>1301</v>
      </c>
      <c r="E1545" s="83" t="s">
        <v>1302</v>
      </c>
      <c r="F1545" s="81" t="s">
        <v>370</v>
      </c>
      <c r="G1545" s="82">
        <v>80</v>
      </c>
      <c r="H1545" s="85"/>
      <c r="I1545" s="86">
        <v>121656</v>
      </c>
      <c r="J1545" s="185">
        <f t="shared" si="155"/>
        <v>1731.47</v>
      </c>
      <c r="K1545" s="189">
        <f t="shared" si="154"/>
        <v>138517.6</v>
      </c>
      <c r="L1545" s="189"/>
      <c r="M1545" s="138"/>
      <c r="N1545" s="138"/>
      <c r="O1545" s="138"/>
      <c r="S1545" s="72"/>
      <c r="T1545" s="72"/>
      <c r="U1545" s="72"/>
      <c r="V1545" s="72"/>
    </row>
    <row r="1546" spans="1:22" s="63" customFormat="1" ht="22.5" x14ac:dyDescent="0.25">
      <c r="A1546" s="84">
        <v>9.452</v>
      </c>
      <c r="B1546" s="81" t="s">
        <v>51</v>
      </c>
      <c r="C1546" s="82">
        <v>169</v>
      </c>
      <c r="D1546" s="131" t="s">
        <v>1303</v>
      </c>
      <c r="E1546" s="83" t="s">
        <v>1304</v>
      </c>
      <c r="F1546" s="81" t="s">
        <v>207</v>
      </c>
      <c r="G1546" s="88">
        <v>5.9400000000000001E-2</v>
      </c>
      <c r="H1546" s="85"/>
      <c r="I1546" s="86">
        <v>5371.31</v>
      </c>
      <c r="J1546" s="185">
        <f t="shared" si="155"/>
        <v>102959.15</v>
      </c>
      <c r="K1546" s="189">
        <f t="shared" si="154"/>
        <v>6115.77</v>
      </c>
      <c r="L1546" s="189"/>
      <c r="M1546" s="138"/>
      <c r="N1546" s="138"/>
      <c r="O1546" s="138"/>
      <c r="S1546" s="72"/>
      <c r="T1546" s="72"/>
      <c r="U1546" s="72"/>
      <c r="V1546" s="72"/>
    </row>
    <row r="1547" spans="1:22" s="63" customFormat="1" ht="22.5" x14ac:dyDescent="0.25">
      <c r="A1547" s="84">
        <v>9.4529999999999994</v>
      </c>
      <c r="B1547" s="81" t="s">
        <v>51</v>
      </c>
      <c r="C1547" s="80">
        <v>169.1</v>
      </c>
      <c r="D1547" s="131" t="s">
        <v>1305</v>
      </c>
      <c r="E1547" s="83" t="s">
        <v>1306</v>
      </c>
      <c r="F1547" s="81" t="s">
        <v>370</v>
      </c>
      <c r="G1547" s="87">
        <v>5.94</v>
      </c>
      <c r="H1547" s="85"/>
      <c r="I1547" s="86">
        <v>5383.41</v>
      </c>
      <c r="J1547" s="185">
        <f t="shared" si="155"/>
        <v>1031.9100000000001</v>
      </c>
      <c r="K1547" s="189">
        <f t="shared" si="154"/>
        <v>6129.55</v>
      </c>
      <c r="L1547" s="189"/>
      <c r="M1547" s="138"/>
      <c r="N1547" s="138"/>
      <c r="O1547" s="138"/>
      <c r="S1547" s="72"/>
      <c r="T1547" s="72"/>
      <c r="U1547" s="72"/>
      <c r="V1547" s="72"/>
    </row>
    <row r="1548" spans="1:22" s="63" customFormat="1" ht="33.75" x14ac:dyDescent="0.25">
      <c r="A1548" s="84">
        <v>9.4540000000000006</v>
      </c>
      <c r="B1548" s="81" t="s">
        <v>51</v>
      </c>
      <c r="C1548" s="80">
        <v>169.2</v>
      </c>
      <c r="D1548" s="131" t="s">
        <v>1116</v>
      </c>
      <c r="E1548" s="83" t="s">
        <v>1117</v>
      </c>
      <c r="F1548" s="81" t="s">
        <v>226</v>
      </c>
      <c r="G1548" s="84">
        <v>4.4999999999999998E-2</v>
      </c>
      <c r="H1548" s="85"/>
      <c r="I1548" s="86">
        <v>5065.68</v>
      </c>
      <c r="J1548" s="185">
        <f t="shared" si="155"/>
        <v>128172.96</v>
      </c>
      <c r="K1548" s="189">
        <f t="shared" si="154"/>
        <v>5767.78</v>
      </c>
      <c r="L1548" s="189"/>
      <c r="M1548" s="138"/>
      <c r="N1548" s="138"/>
      <c r="O1548" s="138"/>
      <c r="S1548" s="72"/>
      <c r="T1548" s="72"/>
      <c r="U1548" s="72"/>
      <c r="V1548" s="72"/>
    </row>
    <row r="1549" spans="1:22" s="63" customFormat="1" ht="15" x14ac:dyDescent="0.25">
      <c r="A1549" s="84">
        <v>9.4550000000000001</v>
      </c>
      <c r="B1549" s="81" t="s">
        <v>51</v>
      </c>
      <c r="C1549" s="82">
        <v>170</v>
      </c>
      <c r="D1549" s="131" t="s">
        <v>1307</v>
      </c>
      <c r="E1549" s="83" t="s">
        <v>1308</v>
      </c>
      <c r="F1549" s="81" t="s">
        <v>219</v>
      </c>
      <c r="G1549" s="82">
        <v>1</v>
      </c>
      <c r="H1549" s="85"/>
      <c r="I1549" s="86">
        <v>2495.25</v>
      </c>
      <c r="J1549" s="185">
        <f t="shared" si="155"/>
        <v>2841.09</v>
      </c>
      <c r="K1549" s="189">
        <f t="shared" si="154"/>
        <v>2841.09</v>
      </c>
      <c r="L1549" s="189"/>
      <c r="M1549" s="138"/>
      <c r="N1549" s="138"/>
      <c r="O1549" s="138"/>
      <c r="S1549" s="72"/>
      <c r="T1549" s="72"/>
      <c r="U1549" s="72"/>
      <c r="V1549" s="72"/>
    </row>
    <row r="1550" spans="1:22" s="63" customFormat="1" ht="15" x14ac:dyDescent="0.25">
      <c r="A1550" s="84">
        <v>9.4559999999999995</v>
      </c>
      <c r="B1550" s="81" t="s">
        <v>51</v>
      </c>
      <c r="C1550" s="80">
        <v>170.1</v>
      </c>
      <c r="D1550" s="131" t="s">
        <v>1309</v>
      </c>
      <c r="E1550" s="83" t="s">
        <v>3630</v>
      </c>
      <c r="F1550" s="81" t="s">
        <v>219</v>
      </c>
      <c r="G1550" s="82">
        <v>1</v>
      </c>
      <c r="H1550" s="85"/>
      <c r="I1550" s="86">
        <v>6001.37</v>
      </c>
      <c r="J1550" s="185">
        <f t="shared" si="155"/>
        <v>6833.16</v>
      </c>
      <c r="K1550" s="189">
        <f t="shared" si="154"/>
        <v>6833.16</v>
      </c>
      <c r="L1550" s="189"/>
      <c r="M1550" s="138"/>
      <c r="N1550" s="138"/>
      <c r="O1550" s="138"/>
      <c r="S1550" s="72"/>
      <c r="T1550" s="72"/>
      <c r="U1550" s="72"/>
      <c r="V1550" s="72"/>
    </row>
    <row r="1551" spans="1:22" s="63" customFormat="1" ht="22.5" x14ac:dyDescent="0.25">
      <c r="A1551" s="84">
        <v>9.4570000000000007</v>
      </c>
      <c r="B1551" s="81" t="s">
        <v>51</v>
      </c>
      <c r="C1551" s="82">
        <v>171</v>
      </c>
      <c r="D1551" s="131" t="s">
        <v>1135</v>
      </c>
      <c r="E1551" s="83" t="s">
        <v>1136</v>
      </c>
      <c r="F1551" s="81" t="s">
        <v>219</v>
      </c>
      <c r="G1551" s="82">
        <v>2</v>
      </c>
      <c r="H1551" s="85"/>
      <c r="I1551" s="86">
        <v>13775.14</v>
      </c>
      <c r="J1551" s="185">
        <f t="shared" si="155"/>
        <v>7842.19</v>
      </c>
      <c r="K1551" s="189">
        <f t="shared" si="154"/>
        <v>15684.38</v>
      </c>
      <c r="L1551" s="189"/>
      <c r="M1551" s="138"/>
      <c r="N1551" s="138"/>
      <c r="O1551" s="138"/>
      <c r="S1551" s="72"/>
      <c r="T1551" s="72"/>
      <c r="U1551" s="72"/>
      <c r="V1551" s="72"/>
    </row>
    <row r="1552" spans="1:22" s="63" customFormat="1" ht="22.5" x14ac:dyDescent="0.25">
      <c r="A1552" s="84">
        <v>9.4580000000000002</v>
      </c>
      <c r="B1552" s="81" t="s">
        <v>51</v>
      </c>
      <c r="C1552" s="80">
        <v>171.1</v>
      </c>
      <c r="D1552" s="131" t="s">
        <v>1137</v>
      </c>
      <c r="E1552" s="83" t="s">
        <v>1138</v>
      </c>
      <c r="F1552" s="81" t="s">
        <v>334</v>
      </c>
      <c r="G1552" s="80">
        <v>18.600000000000001</v>
      </c>
      <c r="H1552" s="85"/>
      <c r="I1552" s="86">
        <v>1986.99</v>
      </c>
      <c r="J1552" s="185">
        <f t="shared" si="155"/>
        <v>121.63</v>
      </c>
      <c r="K1552" s="189">
        <f t="shared" si="154"/>
        <v>2262.3200000000002</v>
      </c>
      <c r="L1552" s="189"/>
      <c r="M1552" s="138"/>
      <c r="N1552" s="138"/>
      <c r="O1552" s="138"/>
      <c r="S1552" s="72"/>
      <c r="T1552" s="72"/>
      <c r="U1552" s="72"/>
      <c r="V1552" s="72"/>
    </row>
    <row r="1553" spans="1:22" s="63" customFormat="1" ht="22.5" x14ac:dyDescent="0.25">
      <c r="A1553" s="84">
        <v>9.4589999999999996</v>
      </c>
      <c r="B1553" s="81" t="s">
        <v>51</v>
      </c>
      <c r="C1553" s="80">
        <v>171.2</v>
      </c>
      <c r="D1553" s="131" t="s">
        <v>1139</v>
      </c>
      <c r="E1553" s="83" t="s">
        <v>1140</v>
      </c>
      <c r="F1553" s="81" t="s">
        <v>566</v>
      </c>
      <c r="G1553" s="80">
        <v>0.4</v>
      </c>
      <c r="H1553" s="85"/>
      <c r="I1553" s="86">
        <v>838.98</v>
      </c>
      <c r="J1553" s="185">
        <f t="shared" si="155"/>
        <v>2388.16</v>
      </c>
      <c r="K1553" s="189">
        <f t="shared" si="154"/>
        <v>955.26</v>
      </c>
      <c r="L1553" s="189"/>
      <c r="M1553" s="138"/>
      <c r="N1553" s="138"/>
      <c r="O1553" s="138"/>
      <c r="S1553" s="72"/>
      <c r="T1553" s="72"/>
      <c r="U1553" s="72"/>
      <c r="V1553" s="72"/>
    </row>
    <row r="1554" spans="1:22" s="63" customFormat="1" ht="33.75" x14ac:dyDescent="0.25">
      <c r="A1554" s="84">
        <v>9.4600000000000009</v>
      </c>
      <c r="B1554" s="81" t="s">
        <v>51</v>
      </c>
      <c r="C1554" s="80">
        <v>171.3</v>
      </c>
      <c r="D1554" s="131" t="s">
        <v>1310</v>
      </c>
      <c r="E1554" s="83" t="s">
        <v>3631</v>
      </c>
      <c r="F1554" s="81" t="s">
        <v>219</v>
      </c>
      <c r="G1554" s="82">
        <v>2</v>
      </c>
      <c r="H1554" s="85"/>
      <c r="I1554" s="86">
        <v>42228.480000000003</v>
      </c>
      <c r="J1554" s="185">
        <f t="shared" si="155"/>
        <v>24040.67</v>
      </c>
      <c r="K1554" s="189">
        <f t="shared" si="154"/>
        <v>48081.34</v>
      </c>
      <c r="L1554" s="189"/>
      <c r="M1554" s="138"/>
      <c r="N1554" s="138"/>
      <c r="O1554" s="138"/>
      <c r="S1554" s="72"/>
      <c r="T1554" s="72"/>
      <c r="U1554" s="72"/>
      <c r="V1554" s="72"/>
    </row>
    <row r="1555" spans="1:22" s="63" customFormat="1" ht="15" x14ac:dyDescent="0.25">
      <c r="A1555" s="84">
        <v>9.4610000000000003</v>
      </c>
      <c r="B1555" s="81" t="s">
        <v>51</v>
      </c>
      <c r="C1555" s="82">
        <v>172</v>
      </c>
      <c r="D1555" s="131" t="s">
        <v>1127</v>
      </c>
      <c r="E1555" s="83" t="s">
        <v>1128</v>
      </c>
      <c r="F1555" s="81" t="s">
        <v>219</v>
      </c>
      <c r="G1555" s="82">
        <v>3</v>
      </c>
      <c r="H1555" s="85"/>
      <c r="I1555" s="86">
        <v>4992.32</v>
      </c>
      <c r="J1555" s="185">
        <f t="shared" si="155"/>
        <v>1894.75</v>
      </c>
      <c r="K1555" s="189">
        <f t="shared" si="154"/>
        <v>5684.25</v>
      </c>
      <c r="L1555" s="189"/>
      <c r="M1555" s="138"/>
      <c r="N1555" s="138"/>
      <c r="O1555" s="138"/>
      <c r="S1555" s="72"/>
      <c r="T1555" s="72"/>
      <c r="U1555" s="72"/>
      <c r="V1555" s="72"/>
    </row>
    <row r="1556" spans="1:22" s="63" customFormat="1" ht="22.5" x14ac:dyDescent="0.25">
      <c r="A1556" s="84">
        <v>9.4619999999999997</v>
      </c>
      <c r="B1556" s="81" t="s">
        <v>51</v>
      </c>
      <c r="C1556" s="80">
        <v>172.1</v>
      </c>
      <c r="D1556" s="131" t="s">
        <v>1311</v>
      </c>
      <c r="E1556" s="83" t="s">
        <v>3632</v>
      </c>
      <c r="F1556" s="81" t="s">
        <v>219</v>
      </c>
      <c r="G1556" s="82">
        <v>1</v>
      </c>
      <c r="H1556" s="85"/>
      <c r="I1556" s="86">
        <v>1382.79</v>
      </c>
      <c r="J1556" s="185">
        <f t="shared" si="155"/>
        <v>1574.44</v>
      </c>
      <c r="K1556" s="189">
        <f t="shared" si="154"/>
        <v>1574.44</v>
      </c>
      <c r="L1556" s="189"/>
      <c r="M1556" s="138"/>
      <c r="N1556" s="138"/>
      <c r="O1556" s="138"/>
      <c r="S1556" s="72"/>
      <c r="T1556" s="72"/>
      <c r="U1556" s="72"/>
      <c r="V1556" s="72"/>
    </row>
    <row r="1557" spans="1:22" s="63" customFormat="1" ht="22.5" x14ac:dyDescent="0.25">
      <c r="A1557" s="84">
        <v>9.4629999999999992</v>
      </c>
      <c r="B1557" s="81" t="s">
        <v>51</v>
      </c>
      <c r="C1557" s="80">
        <v>172.2</v>
      </c>
      <c r="D1557" s="131" t="s">
        <v>1312</v>
      </c>
      <c r="E1557" s="83" t="s">
        <v>3633</v>
      </c>
      <c r="F1557" s="81" t="s">
        <v>219</v>
      </c>
      <c r="G1557" s="82">
        <v>2</v>
      </c>
      <c r="H1557" s="85"/>
      <c r="I1557" s="86">
        <v>2765.59</v>
      </c>
      <c r="J1557" s="185">
        <f t="shared" si="155"/>
        <v>1574.45</v>
      </c>
      <c r="K1557" s="189">
        <f t="shared" si="154"/>
        <v>3148.9</v>
      </c>
      <c r="L1557" s="189"/>
      <c r="M1557" s="138"/>
      <c r="N1557" s="138"/>
      <c r="O1557" s="138"/>
      <c r="S1557" s="72"/>
      <c r="T1557" s="72"/>
      <c r="U1557" s="72"/>
      <c r="V1557" s="72"/>
    </row>
    <row r="1558" spans="1:22" s="63" customFormat="1" ht="22.5" x14ac:dyDescent="0.25">
      <c r="A1558" s="84">
        <v>9.4640000000000004</v>
      </c>
      <c r="B1558" s="81" t="s">
        <v>51</v>
      </c>
      <c r="C1558" s="82">
        <v>173</v>
      </c>
      <c r="D1558" s="131" t="s">
        <v>1151</v>
      </c>
      <c r="E1558" s="83" t="s">
        <v>1152</v>
      </c>
      <c r="F1558" s="81" t="s">
        <v>205</v>
      </c>
      <c r="G1558" s="80">
        <v>2.7</v>
      </c>
      <c r="H1558" s="85"/>
      <c r="I1558" s="86">
        <v>69132.639999999999</v>
      </c>
      <c r="J1558" s="185">
        <f t="shared" si="155"/>
        <v>29153.49</v>
      </c>
      <c r="K1558" s="189">
        <f t="shared" si="154"/>
        <v>78714.42</v>
      </c>
      <c r="L1558" s="189"/>
      <c r="M1558" s="138"/>
      <c r="N1558" s="138"/>
      <c r="O1558" s="138"/>
      <c r="S1558" s="72"/>
      <c r="T1558" s="72"/>
      <c r="U1558" s="72"/>
      <c r="V1558" s="72"/>
    </row>
    <row r="1559" spans="1:22" s="63" customFormat="1" ht="22.5" x14ac:dyDescent="0.25">
      <c r="A1559" s="84">
        <v>9.4649999999999999</v>
      </c>
      <c r="B1559" s="81" t="s">
        <v>51</v>
      </c>
      <c r="C1559" s="80">
        <v>173.1</v>
      </c>
      <c r="D1559" s="131" t="s">
        <v>1153</v>
      </c>
      <c r="E1559" s="83" t="s">
        <v>3573</v>
      </c>
      <c r="F1559" s="81" t="s">
        <v>370</v>
      </c>
      <c r="G1559" s="80">
        <v>94.5</v>
      </c>
      <c r="H1559" s="85"/>
      <c r="I1559" s="86">
        <v>33472.36</v>
      </c>
      <c r="J1559" s="185">
        <f t="shared" si="155"/>
        <v>403.3</v>
      </c>
      <c r="K1559" s="189">
        <f t="shared" si="154"/>
        <v>38111.85</v>
      </c>
      <c r="L1559" s="189"/>
      <c r="M1559" s="138"/>
      <c r="N1559" s="138"/>
      <c r="O1559" s="138"/>
      <c r="S1559" s="72"/>
      <c r="T1559" s="72"/>
      <c r="U1559" s="72"/>
      <c r="V1559" s="72"/>
    </row>
    <row r="1560" spans="1:22" s="128" customFormat="1" ht="12.75" x14ac:dyDescent="0.25">
      <c r="A1560" s="242"/>
      <c r="B1560" s="125"/>
      <c r="C1560" s="236"/>
      <c r="D1560" s="77"/>
      <c r="E1560" s="126" t="s">
        <v>3306</v>
      </c>
      <c r="F1560" s="125"/>
      <c r="G1560" s="236"/>
      <c r="H1560" s="127"/>
      <c r="I1560" s="78"/>
      <c r="J1560" s="238"/>
      <c r="K1560" s="239"/>
      <c r="L1560" s="239"/>
      <c r="M1560" s="79"/>
      <c r="N1560" s="79"/>
      <c r="O1560" s="79"/>
      <c r="S1560" s="129"/>
      <c r="T1560" s="129"/>
      <c r="U1560" s="129"/>
      <c r="V1560" s="129"/>
    </row>
    <row r="1561" spans="1:22" s="63" customFormat="1" ht="15" x14ac:dyDescent="0.25">
      <c r="A1561" s="84">
        <v>9.4659999999999993</v>
      </c>
      <c r="B1561" s="81" t="s">
        <v>51</v>
      </c>
      <c r="C1561" s="82">
        <v>174</v>
      </c>
      <c r="D1561" s="131" t="s">
        <v>1313</v>
      </c>
      <c r="E1561" s="83" t="s">
        <v>1314</v>
      </c>
      <c r="F1561" s="81" t="s">
        <v>219</v>
      </c>
      <c r="G1561" s="82">
        <v>1</v>
      </c>
      <c r="H1561" s="85"/>
      <c r="I1561" s="86">
        <v>6670.7</v>
      </c>
      <c r="J1561" s="185">
        <f>ROUND($I1561/$G1561*$N$11,2)</f>
        <v>7595.26</v>
      </c>
      <c r="K1561" s="189">
        <f t="shared" ref="K1561:K1579" si="156">ROUND(G1561*J1561,2)</f>
        <v>7595.26</v>
      </c>
      <c r="L1561" s="189"/>
      <c r="M1561" s="138"/>
      <c r="N1561" s="138"/>
      <c r="O1561" s="138"/>
      <c r="S1561" s="72"/>
      <c r="T1561" s="72"/>
      <c r="U1561" s="72"/>
      <c r="V1561" s="72"/>
    </row>
    <row r="1562" spans="1:22" s="63" customFormat="1" ht="22.5" x14ac:dyDescent="0.25">
      <c r="A1562" s="108">
        <v>9.4670000000000005</v>
      </c>
      <c r="B1562" s="102" t="s">
        <v>51</v>
      </c>
      <c r="C1562" s="103">
        <v>174.1</v>
      </c>
      <c r="D1562" s="167" t="s">
        <v>1315</v>
      </c>
      <c r="E1562" s="104" t="s">
        <v>3634</v>
      </c>
      <c r="F1562" s="102" t="s">
        <v>219</v>
      </c>
      <c r="G1562" s="105">
        <v>1</v>
      </c>
      <c r="H1562" s="106"/>
      <c r="I1562" s="107">
        <v>34127.69</v>
      </c>
      <c r="J1562" s="192">
        <f>ROUND($I1562/$G1562*$N$12,2)</f>
        <v>38171.82</v>
      </c>
      <c r="K1562" s="193">
        <f t="shared" si="156"/>
        <v>38171.82</v>
      </c>
      <c r="L1562" s="193"/>
      <c r="M1562" s="138"/>
      <c r="N1562" s="138"/>
      <c r="O1562" s="138"/>
      <c r="S1562" s="110"/>
      <c r="T1562" s="72"/>
      <c r="U1562" s="72"/>
      <c r="V1562" s="72"/>
    </row>
    <row r="1563" spans="1:22" s="63" customFormat="1" ht="15" x14ac:dyDescent="0.25">
      <c r="A1563" s="84">
        <v>9.468</v>
      </c>
      <c r="B1563" s="81" t="s">
        <v>51</v>
      </c>
      <c r="C1563" s="82">
        <v>175</v>
      </c>
      <c r="D1563" s="131" t="s">
        <v>1273</v>
      </c>
      <c r="E1563" s="83" t="s">
        <v>1274</v>
      </c>
      <c r="F1563" s="81" t="s">
        <v>370</v>
      </c>
      <c r="G1563" s="87">
        <v>0.43</v>
      </c>
      <c r="H1563" s="85"/>
      <c r="I1563" s="86">
        <v>2801.38</v>
      </c>
      <c r="J1563" s="185">
        <f>ROUND($I1563/$G1563*$N$11,2)</f>
        <v>7417.79</v>
      </c>
      <c r="K1563" s="189">
        <f t="shared" si="156"/>
        <v>3189.65</v>
      </c>
      <c r="L1563" s="189"/>
      <c r="M1563" s="138"/>
      <c r="N1563" s="138"/>
      <c r="O1563" s="138"/>
      <c r="S1563" s="72"/>
      <c r="T1563" s="72"/>
      <c r="U1563" s="72"/>
      <c r="V1563" s="72"/>
    </row>
    <row r="1564" spans="1:22" s="63" customFormat="1" ht="15" x14ac:dyDescent="0.25">
      <c r="A1564" s="84">
        <v>9.4689999999999994</v>
      </c>
      <c r="B1564" s="81" t="s">
        <v>51</v>
      </c>
      <c r="C1564" s="80">
        <v>175.1</v>
      </c>
      <c r="D1564" s="131" t="s">
        <v>1316</v>
      </c>
      <c r="E1564" s="83" t="s">
        <v>3635</v>
      </c>
      <c r="F1564" s="81" t="s">
        <v>219</v>
      </c>
      <c r="G1564" s="82">
        <v>2</v>
      </c>
      <c r="H1564" s="85"/>
      <c r="I1564" s="86">
        <v>6509.75</v>
      </c>
      <c r="J1564" s="185">
        <f>ROUND($I1564/$G1564*$N$11,2)</f>
        <v>3706</v>
      </c>
      <c r="K1564" s="189">
        <f t="shared" si="156"/>
        <v>7412</v>
      </c>
      <c r="L1564" s="189"/>
      <c r="M1564" s="138"/>
      <c r="N1564" s="138"/>
      <c r="O1564" s="138"/>
      <c r="S1564" s="72"/>
      <c r="T1564" s="72"/>
      <c r="U1564" s="72"/>
      <c r="V1564" s="72"/>
    </row>
    <row r="1565" spans="1:22" s="63" customFormat="1" ht="22.5" x14ac:dyDescent="0.25">
      <c r="A1565" s="84">
        <v>9.4700000000000006</v>
      </c>
      <c r="B1565" s="81" t="s">
        <v>51</v>
      </c>
      <c r="C1565" s="82">
        <v>176</v>
      </c>
      <c r="D1565" s="131" t="s">
        <v>783</v>
      </c>
      <c r="E1565" s="83" t="s">
        <v>1078</v>
      </c>
      <c r="F1565" s="81" t="s">
        <v>219</v>
      </c>
      <c r="G1565" s="82">
        <v>1</v>
      </c>
      <c r="H1565" s="85"/>
      <c r="I1565" s="86">
        <v>3276.2</v>
      </c>
      <c r="J1565" s="185">
        <f>ROUND($I1565/$G1565*$N$11,2)</f>
        <v>3730.28</v>
      </c>
      <c r="K1565" s="189">
        <f t="shared" si="156"/>
        <v>3730.28</v>
      </c>
      <c r="L1565" s="189"/>
      <c r="M1565" s="138"/>
      <c r="N1565" s="138"/>
      <c r="O1565" s="138"/>
      <c r="S1565" s="72"/>
      <c r="T1565" s="72"/>
      <c r="U1565" s="72"/>
      <c r="V1565" s="72"/>
    </row>
    <row r="1566" spans="1:22" s="63" customFormat="1" ht="15" x14ac:dyDescent="0.25">
      <c r="A1566" s="108">
        <v>9.4710000000000001</v>
      </c>
      <c r="B1566" s="102" t="s">
        <v>51</v>
      </c>
      <c r="C1566" s="103">
        <v>176.1</v>
      </c>
      <c r="D1566" s="167" t="s">
        <v>1298</v>
      </c>
      <c r="E1566" s="104" t="s">
        <v>3629</v>
      </c>
      <c r="F1566" s="102" t="s">
        <v>219</v>
      </c>
      <c r="G1566" s="105">
        <v>1</v>
      </c>
      <c r="H1566" s="106"/>
      <c r="I1566" s="107">
        <v>21212.97</v>
      </c>
      <c r="J1566" s="192">
        <f>ROUND($I1566/$G1566*$N$12,2)</f>
        <v>23726.71</v>
      </c>
      <c r="K1566" s="193">
        <f t="shared" si="156"/>
        <v>23726.71</v>
      </c>
      <c r="L1566" s="193"/>
      <c r="M1566" s="138"/>
      <c r="N1566" s="138"/>
      <c r="O1566" s="138"/>
      <c r="S1566" s="110"/>
      <c r="T1566" s="72"/>
      <c r="U1566" s="72"/>
      <c r="V1566" s="72"/>
    </row>
    <row r="1567" spans="1:22" s="63" customFormat="1" ht="22.5" x14ac:dyDescent="0.25">
      <c r="A1567" s="84">
        <v>9.4719999999999995</v>
      </c>
      <c r="B1567" s="81" t="s">
        <v>51</v>
      </c>
      <c r="C1567" s="82">
        <v>177</v>
      </c>
      <c r="D1567" s="131" t="s">
        <v>1299</v>
      </c>
      <c r="E1567" s="83" t="s">
        <v>1300</v>
      </c>
      <c r="F1567" s="81" t="s">
        <v>207</v>
      </c>
      <c r="G1567" s="88">
        <v>0.47820000000000001</v>
      </c>
      <c r="H1567" s="85"/>
      <c r="I1567" s="86">
        <v>39553.72</v>
      </c>
      <c r="J1567" s="185">
        <f t="shared" ref="J1567:J1579" si="157">ROUND($I1567/$G1567*$N$11,2)</f>
        <v>94177.89</v>
      </c>
      <c r="K1567" s="189">
        <f t="shared" si="156"/>
        <v>45035.87</v>
      </c>
      <c r="L1567" s="189"/>
      <c r="M1567" s="138"/>
      <c r="N1567" s="138"/>
      <c r="O1567" s="138"/>
      <c r="S1567" s="72"/>
      <c r="T1567" s="72"/>
      <c r="U1567" s="72"/>
      <c r="V1567" s="72"/>
    </row>
    <row r="1568" spans="1:22" s="63" customFormat="1" ht="22.5" x14ac:dyDescent="0.25">
      <c r="A1568" s="84">
        <v>9.4730000000000008</v>
      </c>
      <c r="B1568" s="81" t="s">
        <v>51</v>
      </c>
      <c r="C1568" s="80">
        <v>177.1</v>
      </c>
      <c r="D1568" s="131" t="s">
        <v>1301</v>
      </c>
      <c r="E1568" s="83" t="s">
        <v>1302</v>
      </c>
      <c r="F1568" s="81" t="s">
        <v>370</v>
      </c>
      <c r="G1568" s="87">
        <v>47.82</v>
      </c>
      <c r="H1568" s="85"/>
      <c r="I1568" s="86">
        <v>72719.92</v>
      </c>
      <c r="J1568" s="185">
        <f t="shared" si="157"/>
        <v>1731.47</v>
      </c>
      <c r="K1568" s="189">
        <f t="shared" si="156"/>
        <v>82798.899999999994</v>
      </c>
      <c r="L1568" s="189"/>
      <c r="M1568" s="138"/>
      <c r="N1568" s="138"/>
      <c r="O1568" s="138"/>
      <c r="S1568" s="72"/>
      <c r="T1568" s="72"/>
      <c r="U1568" s="72"/>
      <c r="V1568" s="72"/>
    </row>
    <row r="1569" spans="1:22" s="63" customFormat="1" ht="22.5" x14ac:dyDescent="0.25">
      <c r="A1569" s="84">
        <v>9.4740000000000002</v>
      </c>
      <c r="B1569" s="81" t="s">
        <v>51</v>
      </c>
      <c r="C1569" s="82">
        <v>178</v>
      </c>
      <c r="D1569" s="131" t="s">
        <v>1303</v>
      </c>
      <c r="E1569" s="83" t="s">
        <v>1304</v>
      </c>
      <c r="F1569" s="81" t="s">
        <v>207</v>
      </c>
      <c r="G1569" s="88">
        <v>6.2799999999999995E-2</v>
      </c>
      <c r="H1569" s="85"/>
      <c r="I1569" s="86">
        <v>5679.46</v>
      </c>
      <c r="J1569" s="185">
        <f t="shared" si="157"/>
        <v>102971.87</v>
      </c>
      <c r="K1569" s="189">
        <f t="shared" si="156"/>
        <v>6466.63</v>
      </c>
      <c r="L1569" s="189"/>
      <c r="M1569" s="138"/>
      <c r="N1569" s="138"/>
      <c r="O1569" s="138"/>
      <c r="S1569" s="72"/>
      <c r="T1569" s="72"/>
      <c r="U1569" s="72"/>
      <c r="V1569" s="72"/>
    </row>
    <row r="1570" spans="1:22" s="63" customFormat="1" ht="22.5" x14ac:dyDescent="0.25">
      <c r="A1570" s="84">
        <v>9.4749999999999996</v>
      </c>
      <c r="B1570" s="81" t="s">
        <v>51</v>
      </c>
      <c r="C1570" s="80">
        <v>178.1</v>
      </c>
      <c r="D1570" s="131" t="s">
        <v>1305</v>
      </c>
      <c r="E1570" s="83" t="s">
        <v>1306</v>
      </c>
      <c r="F1570" s="81" t="s">
        <v>370</v>
      </c>
      <c r="G1570" s="87">
        <v>6.28</v>
      </c>
      <c r="H1570" s="85"/>
      <c r="I1570" s="86">
        <v>5691.55</v>
      </c>
      <c r="J1570" s="185">
        <f t="shared" si="157"/>
        <v>1031.9100000000001</v>
      </c>
      <c r="K1570" s="189">
        <f t="shared" si="156"/>
        <v>6480.39</v>
      </c>
      <c r="L1570" s="189"/>
      <c r="M1570" s="138"/>
      <c r="N1570" s="138"/>
      <c r="O1570" s="138"/>
      <c r="S1570" s="72"/>
      <c r="T1570" s="72"/>
      <c r="U1570" s="72"/>
      <c r="V1570" s="72"/>
    </row>
    <row r="1571" spans="1:22" s="63" customFormat="1" ht="33.75" x14ac:dyDescent="0.25">
      <c r="A1571" s="84">
        <v>9.4760000000000009</v>
      </c>
      <c r="B1571" s="81" t="s">
        <v>51</v>
      </c>
      <c r="C1571" s="80">
        <v>178.2</v>
      </c>
      <c r="D1571" s="131" t="s">
        <v>1116</v>
      </c>
      <c r="E1571" s="83" t="s">
        <v>1117</v>
      </c>
      <c r="F1571" s="81" t="s">
        <v>226</v>
      </c>
      <c r="G1571" s="87">
        <v>0.03</v>
      </c>
      <c r="H1571" s="85"/>
      <c r="I1571" s="86">
        <v>3377.06</v>
      </c>
      <c r="J1571" s="185">
        <f t="shared" si="157"/>
        <v>128170.68</v>
      </c>
      <c r="K1571" s="189">
        <f t="shared" si="156"/>
        <v>3845.12</v>
      </c>
      <c r="L1571" s="189"/>
      <c r="M1571" s="138"/>
      <c r="N1571" s="138"/>
      <c r="O1571" s="138"/>
      <c r="S1571" s="72"/>
      <c r="T1571" s="72"/>
      <c r="U1571" s="72"/>
      <c r="V1571" s="72"/>
    </row>
    <row r="1572" spans="1:22" s="63" customFormat="1" ht="22.5" x14ac:dyDescent="0.25">
      <c r="A1572" s="84">
        <v>9.4770000000000003</v>
      </c>
      <c r="B1572" s="81" t="s">
        <v>51</v>
      </c>
      <c r="C1572" s="82">
        <v>179</v>
      </c>
      <c r="D1572" s="131" t="s">
        <v>1135</v>
      </c>
      <c r="E1572" s="83" t="s">
        <v>1136</v>
      </c>
      <c r="F1572" s="81" t="s">
        <v>219</v>
      </c>
      <c r="G1572" s="82">
        <v>2</v>
      </c>
      <c r="H1572" s="85"/>
      <c r="I1572" s="86">
        <v>13775.14</v>
      </c>
      <c r="J1572" s="185">
        <f t="shared" si="157"/>
        <v>7842.19</v>
      </c>
      <c r="K1572" s="189">
        <f t="shared" si="156"/>
        <v>15684.38</v>
      </c>
      <c r="L1572" s="189"/>
      <c r="M1572" s="138"/>
      <c r="N1572" s="138"/>
      <c r="O1572" s="138"/>
      <c r="S1572" s="72"/>
      <c r="T1572" s="72"/>
      <c r="U1572" s="72"/>
      <c r="V1572" s="72"/>
    </row>
    <row r="1573" spans="1:22" s="63" customFormat="1" ht="22.5" x14ac:dyDescent="0.25">
      <c r="A1573" s="84">
        <v>9.4779999999999998</v>
      </c>
      <c r="B1573" s="81" t="s">
        <v>51</v>
      </c>
      <c r="C1573" s="80">
        <v>179.1</v>
      </c>
      <c r="D1573" s="131" t="s">
        <v>1137</v>
      </c>
      <c r="E1573" s="83" t="s">
        <v>1138</v>
      </c>
      <c r="F1573" s="81" t="s">
        <v>334</v>
      </c>
      <c r="G1573" s="80">
        <v>18.600000000000001</v>
      </c>
      <c r="H1573" s="85"/>
      <c r="I1573" s="86">
        <v>1986.99</v>
      </c>
      <c r="J1573" s="185">
        <f t="shared" si="157"/>
        <v>121.63</v>
      </c>
      <c r="K1573" s="189">
        <f t="shared" si="156"/>
        <v>2262.3200000000002</v>
      </c>
      <c r="L1573" s="189"/>
      <c r="M1573" s="138"/>
      <c r="N1573" s="138"/>
      <c r="O1573" s="138"/>
      <c r="S1573" s="72"/>
      <c r="T1573" s="72"/>
      <c r="U1573" s="72"/>
      <c r="V1573" s="72"/>
    </row>
    <row r="1574" spans="1:22" s="63" customFormat="1" ht="22.5" x14ac:dyDescent="0.25">
      <c r="A1574" s="84">
        <v>9.4789999999999992</v>
      </c>
      <c r="B1574" s="81" t="s">
        <v>51</v>
      </c>
      <c r="C1574" s="80">
        <v>179.2</v>
      </c>
      <c r="D1574" s="131" t="s">
        <v>1139</v>
      </c>
      <c r="E1574" s="83" t="s">
        <v>1140</v>
      </c>
      <c r="F1574" s="81" t="s">
        <v>566</v>
      </c>
      <c r="G1574" s="80">
        <v>0.4</v>
      </c>
      <c r="H1574" s="85"/>
      <c r="I1574" s="86">
        <v>838.98</v>
      </c>
      <c r="J1574" s="185">
        <f t="shared" si="157"/>
        <v>2388.16</v>
      </c>
      <c r="K1574" s="189">
        <f t="shared" si="156"/>
        <v>955.26</v>
      </c>
      <c r="L1574" s="189"/>
      <c r="M1574" s="138"/>
      <c r="N1574" s="138"/>
      <c r="O1574" s="138"/>
      <c r="S1574" s="72"/>
      <c r="T1574" s="72"/>
      <c r="U1574" s="72"/>
      <c r="V1574" s="72"/>
    </row>
    <row r="1575" spans="1:22" s="63" customFormat="1" ht="33.75" x14ac:dyDescent="0.25">
      <c r="A1575" s="84">
        <v>9.48</v>
      </c>
      <c r="B1575" s="81" t="s">
        <v>51</v>
      </c>
      <c r="C1575" s="80">
        <v>179.3</v>
      </c>
      <c r="D1575" s="131" t="s">
        <v>1310</v>
      </c>
      <c r="E1575" s="83" t="s">
        <v>3631</v>
      </c>
      <c r="F1575" s="81" t="s">
        <v>219</v>
      </c>
      <c r="G1575" s="82">
        <v>2</v>
      </c>
      <c r="H1575" s="85"/>
      <c r="I1575" s="86">
        <v>42228.480000000003</v>
      </c>
      <c r="J1575" s="185">
        <f t="shared" si="157"/>
        <v>24040.67</v>
      </c>
      <c r="K1575" s="189">
        <f t="shared" si="156"/>
        <v>48081.34</v>
      </c>
      <c r="L1575" s="189"/>
      <c r="M1575" s="138"/>
      <c r="N1575" s="138"/>
      <c r="O1575" s="138"/>
      <c r="S1575" s="72"/>
      <c r="T1575" s="72"/>
      <c r="U1575" s="72"/>
      <c r="V1575" s="72"/>
    </row>
    <row r="1576" spans="1:22" s="63" customFormat="1" ht="15" x14ac:dyDescent="0.25">
      <c r="A1576" s="84">
        <v>9.4809999999999999</v>
      </c>
      <c r="B1576" s="81" t="s">
        <v>51</v>
      </c>
      <c r="C1576" s="82">
        <v>180</v>
      </c>
      <c r="D1576" s="131" t="s">
        <v>1127</v>
      </c>
      <c r="E1576" s="83" t="s">
        <v>1128</v>
      </c>
      <c r="F1576" s="81" t="s">
        <v>219</v>
      </c>
      <c r="G1576" s="82">
        <v>2</v>
      </c>
      <c r="H1576" s="85"/>
      <c r="I1576" s="86">
        <v>3328.21</v>
      </c>
      <c r="J1576" s="185">
        <f t="shared" si="157"/>
        <v>1894.75</v>
      </c>
      <c r="K1576" s="189">
        <f t="shared" si="156"/>
        <v>3789.5</v>
      </c>
      <c r="L1576" s="189"/>
      <c r="M1576" s="138"/>
      <c r="N1576" s="138"/>
      <c r="O1576" s="138"/>
      <c r="S1576" s="72"/>
      <c r="T1576" s="72"/>
      <c r="U1576" s="72"/>
      <c r="V1576" s="72"/>
    </row>
    <row r="1577" spans="1:22" s="63" customFormat="1" ht="22.5" x14ac:dyDescent="0.25">
      <c r="A1577" s="84">
        <v>9.4819999999999993</v>
      </c>
      <c r="B1577" s="81" t="s">
        <v>51</v>
      </c>
      <c r="C1577" s="80">
        <v>180.1</v>
      </c>
      <c r="D1577" s="131" t="s">
        <v>1317</v>
      </c>
      <c r="E1577" s="83" t="s">
        <v>3636</v>
      </c>
      <c r="F1577" s="81" t="s">
        <v>219</v>
      </c>
      <c r="G1577" s="82">
        <v>2</v>
      </c>
      <c r="H1577" s="85"/>
      <c r="I1577" s="86">
        <v>2765.59</v>
      </c>
      <c r="J1577" s="185">
        <f t="shared" si="157"/>
        <v>1574.45</v>
      </c>
      <c r="K1577" s="189">
        <f t="shared" si="156"/>
        <v>3148.9</v>
      </c>
      <c r="L1577" s="189"/>
      <c r="M1577" s="138"/>
      <c r="N1577" s="138"/>
      <c r="O1577" s="138"/>
      <c r="S1577" s="72"/>
      <c r="T1577" s="72"/>
      <c r="U1577" s="72"/>
      <c r="V1577" s="72"/>
    </row>
    <row r="1578" spans="1:22" s="63" customFormat="1" ht="22.5" x14ac:dyDescent="0.25">
      <c r="A1578" s="84">
        <v>9.4830000000000005</v>
      </c>
      <c r="B1578" s="81" t="s">
        <v>51</v>
      </c>
      <c r="C1578" s="82">
        <v>181</v>
      </c>
      <c r="D1578" s="131" t="s">
        <v>1151</v>
      </c>
      <c r="E1578" s="83" t="s">
        <v>1152</v>
      </c>
      <c r="F1578" s="81" t="s">
        <v>205</v>
      </c>
      <c r="G1578" s="87">
        <v>1.65</v>
      </c>
      <c r="H1578" s="85"/>
      <c r="I1578" s="86">
        <v>42247.25</v>
      </c>
      <c r="J1578" s="185">
        <f t="shared" si="157"/>
        <v>29153.16</v>
      </c>
      <c r="K1578" s="189">
        <f t="shared" si="156"/>
        <v>48102.71</v>
      </c>
      <c r="L1578" s="189"/>
      <c r="M1578" s="138"/>
      <c r="N1578" s="138"/>
      <c r="O1578" s="138"/>
      <c r="S1578" s="72"/>
      <c r="T1578" s="72"/>
      <c r="U1578" s="72"/>
      <c r="V1578" s="72"/>
    </row>
    <row r="1579" spans="1:22" s="63" customFormat="1" ht="22.5" x14ac:dyDescent="0.25">
      <c r="A1579" s="84">
        <v>9.484</v>
      </c>
      <c r="B1579" s="81" t="s">
        <v>51</v>
      </c>
      <c r="C1579" s="80">
        <v>181.1</v>
      </c>
      <c r="D1579" s="131" t="s">
        <v>1153</v>
      </c>
      <c r="E1579" s="83" t="s">
        <v>3573</v>
      </c>
      <c r="F1579" s="81" t="s">
        <v>370</v>
      </c>
      <c r="G1579" s="87">
        <v>57.75</v>
      </c>
      <c r="H1579" s="85"/>
      <c r="I1579" s="86">
        <v>20455.349999999999</v>
      </c>
      <c r="J1579" s="185">
        <f t="shared" si="157"/>
        <v>403.3</v>
      </c>
      <c r="K1579" s="189">
        <f t="shared" si="156"/>
        <v>23290.58</v>
      </c>
      <c r="L1579" s="189"/>
      <c r="M1579" s="138"/>
      <c r="N1579" s="138"/>
      <c r="O1579" s="138"/>
      <c r="S1579" s="72"/>
      <c r="T1579" s="72"/>
      <c r="U1579" s="72"/>
      <c r="V1579" s="72"/>
    </row>
    <row r="1580" spans="1:22" s="128" customFormat="1" ht="12.75" x14ac:dyDescent="0.25">
      <c r="A1580" s="242"/>
      <c r="B1580" s="125"/>
      <c r="C1580" s="236"/>
      <c r="D1580" s="77"/>
      <c r="E1580" s="126" t="s">
        <v>3307</v>
      </c>
      <c r="F1580" s="125"/>
      <c r="G1580" s="237"/>
      <c r="H1580" s="127"/>
      <c r="I1580" s="78"/>
      <c r="J1580" s="238"/>
      <c r="K1580" s="239"/>
      <c r="L1580" s="239"/>
      <c r="M1580" s="79"/>
      <c r="N1580" s="79"/>
      <c r="O1580" s="79"/>
      <c r="S1580" s="129"/>
      <c r="T1580" s="129"/>
      <c r="U1580" s="129"/>
      <c r="V1580" s="129"/>
    </row>
    <row r="1581" spans="1:22" s="63" customFormat="1" ht="15" x14ac:dyDescent="0.25">
      <c r="A1581" s="84">
        <v>9.4849999999999994</v>
      </c>
      <c r="B1581" s="81" t="s">
        <v>51</v>
      </c>
      <c r="C1581" s="82">
        <v>182</v>
      </c>
      <c r="D1581" s="131" t="s">
        <v>1318</v>
      </c>
      <c r="E1581" s="83" t="s">
        <v>1319</v>
      </c>
      <c r="F1581" s="81" t="s">
        <v>219</v>
      </c>
      <c r="G1581" s="82">
        <v>1</v>
      </c>
      <c r="H1581" s="85"/>
      <c r="I1581" s="86">
        <v>9638.75</v>
      </c>
      <c r="J1581" s="185">
        <f>ROUND($I1581/$G1581*$N$11,2)</f>
        <v>10974.68</v>
      </c>
      <c r="K1581" s="189">
        <f t="shared" ref="K1581:K1599" si="158">ROUND(G1581*J1581,2)</f>
        <v>10974.68</v>
      </c>
      <c r="L1581" s="189"/>
      <c r="M1581" s="138"/>
      <c r="N1581" s="138"/>
      <c r="O1581" s="138"/>
      <c r="S1581" s="72"/>
      <c r="T1581" s="72"/>
      <c r="U1581" s="72"/>
      <c r="V1581" s="72"/>
    </row>
    <row r="1582" spans="1:22" s="63" customFormat="1" ht="22.5" x14ac:dyDescent="0.25">
      <c r="A1582" s="84">
        <v>9.4860000000000007</v>
      </c>
      <c r="B1582" s="81" t="s">
        <v>51</v>
      </c>
      <c r="C1582" s="80">
        <v>182.1</v>
      </c>
      <c r="D1582" s="131" t="s">
        <v>1071</v>
      </c>
      <c r="E1582" s="83" t="s">
        <v>1072</v>
      </c>
      <c r="F1582" s="81" t="s">
        <v>226</v>
      </c>
      <c r="G1582" s="88">
        <v>1.4E-3</v>
      </c>
      <c r="H1582" s="85"/>
      <c r="I1582" s="86">
        <v>186.75</v>
      </c>
      <c r="J1582" s="185">
        <f>ROUND($I1582/$G1582*$N$11,2)</f>
        <v>151881.10999999999</v>
      </c>
      <c r="K1582" s="189">
        <f t="shared" si="158"/>
        <v>212.63</v>
      </c>
      <c r="L1582" s="189"/>
      <c r="M1582" s="138"/>
      <c r="N1582" s="138"/>
      <c r="O1582" s="138"/>
      <c r="S1582" s="72"/>
      <c r="T1582" s="72"/>
      <c r="U1582" s="72"/>
      <c r="V1582" s="72"/>
    </row>
    <row r="1583" spans="1:22" s="63" customFormat="1" ht="22.5" x14ac:dyDescent="0.25">
      <c r="A1583" s="108">
        <v>9.4870000000000001</v>
      </c>
      <c r="B1583" s="102" t="s">
        <v>51</v>
      </c>
      <c r="C1583" s="103">
        <v>182.2</v>
      </c>
      <c r="D1583" s="167" t="s">
        <v>1320</v>
      </c>
      <c r="E1583" s="104" t="s">
        <v>3637</v>
      </c>
      <c r="F1583" s="102" t="s">
        <v>219</v>
      </c>
      <c r="G1583" s="105">
        <v>1</v>
      </c>
      <c r="H1583" s="106"/>
      <c r="I1583" s="107">
        <v>35102.720000000001</v>
      </c>
      <c r="J1583" s="192">
        <f>ROUND($I1583/$G1583*$N$12,2)</f>
        <v>39262.39</v>
      </c>
      <c r="K1583" s="193">
        <f t="shared" si="158"/>
        <v>39262.39</v>
      </c>
      <c r="L1583" s="193"/>
      <c r="M1583" s="138"/>
      <c r="N1583" s="138"/>
      <c r="O1583" s="138"/>
      <c r="S1583" s="110"/>
      <c r="T1583" s="72"/>
      <c r="U1583" s="72"/>
      <c r="V1583" s="72"/>
    </row>
    <row r="1584" spans="1:22" s="63" customFormat="1" ht="22.5" x14ac:dyDescent="0.25">
      <c r="A1584" s="84">
        <v>9.4879999999999995</v>
      </c>
      <c r="B1584" s="81" t="s">
        <v>51</v>
      </c>
      <c r="C1584" s="82">
        <v>183</v>
      </c>
      <c r="D1584" s="131" t="s">
        <v>1225</v>
      </c>
      <c r="E1584" s="83" t="s">
        <v>1226</v>
      </c>
      <c r="F1584" s="81" t="s">
        <v>566</v>
      </c>
      <c r="G1584" s="80">
        <v>0.1</v>
      </c>
      <c r="H1584" s="85"/>
      <c r="I1584" s="86">
        <v>6364.14</v>
      </c>
      <c r="J1584" s="185">
        <f t="shared" ref="J1584:J1589" si="159">ROUND($I1584/$G1584*$N$11,2)</f>
        <v>72462.100000000006</v>
      </c>
      <c r="K1584" s="189">
        <f t="shared" si="158"/>
        <v>7246.21</v>
      </c>
      <c r="L1584" s="189"/>
      <c r="M1584" s="138"/>
      <c r="N1584" s="138"/>
      <c r="O1584" s="138"/>
      <c r="S1584" s="72"/>
      <c r="T1584" s="72"/>
      <c r="U1584" s="72"/>
      <c r="V1584" s="72"/>
    </row>
    <row r="1585" spans="1:22" s="63" customFormat="1" ht="22.5" x14ac:dyDescent="0.25">
      <c r="A1585" s="84">
        <v>9.4890000000000008</v>
      </c>
      <c r="B1585" s="81" t="s">
        <v>51</v>
      </c>
      <c r="C1585" s="80">
        <v>183.1</v>
      </c>
      <c r="D1585" s="131" t="s">
        <v>1321</v>
      </c>
      <c r="E1585" s="83" t="s">
        <v>3638</v>
      </c>
      <c r="F1585" s="81" t="s">
        <v>219</v>
      </c>
      <c r="G1585" s="82">
        <v>1</v>
      </c>
      <c r="H1585" s="85"/>
      <c r="I1585" s="86">
        <v>20071.82</v>
      </c>
      <c r="J1585" s="185">
        <f t="shared" si="159"/>
        <v>22853.77</v>
      </c>
      <c r="K1585" s="189">
        <f t="shared" si="158"/>
        <v>22853.77</v>
      </c>
      <c r="L1585" s="189"/>
      <c r="M1585" s="138"/>
      <c r="N1585" s="138"/>
      <c r="O1585" s="138"/>
      <c r="S1585" s="72"/>
      <c r="T1585" s="72"/>
      <c r="U1585" s="72"/>
      <c r="V1585" s="72"/>
    </row>
    <row r="1586" spans="1:22" s="63" customFormat="1" ht="15" x14ac:dyDescent="0.25">
      <c r="A1586" s="84">
        <v>9.49</v>
      </c>
      <c r="B1586" s="81" t="s">
        <v>51</v>
      </c>
      <c r="C1586" s="82">
        <v>184</v>
      </c>
      <c r="D1586" s="131" t="s">
        <v>1307</v>
      </c>
      <c r="E1586" s="83" t="s">
        <v>1308</v>
      </c>
      <c r="F1586" s="81" t="s">
        <v>219</v>
      </c>
      <c r="G1586" s="82">
        <v>1</v>
      </c>
      <c r="H1586" s="85"/>
      <c r="I1586" s="86">
        <v>2495.25</v>
      </c>
      <c r="J1586" s="185">
        <f t="shared" si="159"/>
        <v>2841.09</v>
      </c>
      <c r="K1586" s="189">
        <f t="shared" si="158"/>
        <v>2841.09</v>
      </c>
      <c r="L1586" s="189"/>
      <c r="M1586" s="138"/>
      <c r="N1586" s="138"/>
      <c r="O1586" s="138"/>
      <c r="S1586" s="72"/>
      <c r="T1586" s="72"/>
      <c r="U1586" s="72"/>
      <c r="V1586" s="72"/>
    </row>
    <row r="1587" spans="1:22" s="63" customFormat="1" ht="22.5" x14ac:dyDescent="0.25">
      <c r="A1587" s="84">
        <v>9.4909999999999997</v>
      </c>
      <c r="B1587" s="81" t="s">
        <v>51</v>
      </c>
      <c r="C1587" s="80">
        <v>184.1</v>
      </c>
      <c r="D1587" s="131" t="s">
        <v>1321</v>
      </c>
      <c r="E1587" s="83" t="s">
        <v>3639</v>
      </c>
      <c r="F1587" s="81" t="s">
        <v>219</v>
      </c>
      <c r="G1587" s="82">
        <v>1</v>
      </c>
      <c r="H1587" s="85"/>
      <c r="I1587" s="86">
        <v>5977.93</v>
      </c>
      <c r="J1587" s="185">
        <f t="shared" si="159"/>
        <v>6806.47</v>
      </c>
      <c r="K1587" s="189">
        <f t="shared" si="158"/>
        <v>6806.47</v>
      </c>
      <c r="L1587" s="189"/>
      <c r="M1587" s="138"/>
      <c r="N1587" s="138"/>
      <c r="O1587" s="138"/>
      <c r="S1587" s="72"/>
      <c r="T1587" s="72"/>
      <c r="U1587" s="72"/>
      <c r="V1587" s="72"/>
    </row>
    <row r="1588" spans="1:22" s="63" customFormat="1" ht="22.5" x14ac:dyDescent="0.25">
      <c r="A1588" s="84">
        <v>9.4920000000000009</v>
      </c>
      <c r="B1588" s="81" t="s">
        <v>51</v>
      </c>
      <c r="C1588" s="80">
        <v>184.2</v>
      </c>
      <c r="D1588" s="131" t="s">
        <v>1322</v>
      </c>
      <c r="E1588" s="83" t="s">
        <v>3640</v>
      </c>
      <c r="F1588" s="81" t="s">
        <v>219</v>
      </c>
      <c r="G1588" s="82">
        <v>1</v>
      </c>
      <c r="H1588" s="85"/>
      <c r="I1588" s="86">
        <v>6718.25</v>
      </c>
      <c r="J1588" s="185">
        <f t="shared" si="159"/>
        <v>7649.4</v>
      </c>
      <c r="K1588" s="189">
        <f t="shared" si="158"/>
        <v>7649.4</v>
      </c>
      <c r="L1588" s="189"/>
      <c r="M1588" s="138"/>
      <c r="N1588" s="138"/>
      <c r="O1588" s="138"/>
      <c r="S1588" s="72"/>
      <c r="T1588" s="72"/>
      <c r="U1588" s="72"/>
      <c r="V1588" s="72"/>
    </row>
    <row r="1589" spans="1:22" s="63" customFormat="1" ht="22.5" x14ac:dyDescent="0.25">
      <c r="A1589" s="84">
        <v>9.4930000000000003</v>
      </c>
      <c r="B1589" s="81" t="s">
        <v>51</v>
      </c>
      <c r="C1589" s="82">
        <v>185</v>
      </c>
      <c r="D1589" s="131" t="s">
        <v>783</v>
      </c>
      <c r="E1589" s="83" t="s">
        <v>1078</v>
      </c>
      <c r="F1589" s="81" t="s">
        <v>219</v>
      </c>
      <c r="G1589" s="82">
        <v>1</v>
      </c>
      <c r="H1589" s="85"/>
      <c r="I1589" s="86">
        <v>3276.2</v>
      </c>
      <c r="J1589" s="185">
        <f t="shared" si="159"/>
        <v>3730.28</v>
      </c>
      <c r="K1589" s="189">
        <f t="shared" si="158"/>
        <v>3730.28</v>
      </c>
      <c r="L1589" s="189"/>
      <c r="M1589" s="138"/>
      <c r="N1589" s="138"/>
      <c r="O1589" s="138"/>
      <c r="S1589" s="72"/>
      <c r="T1589" s="72"/>
      <c r="U1589" s="72"/>
      <c r="V1589" s="72"/>
    </row>
    <row r="1590" spans="1:22" s="63" customFormat="1" ht="22.5" x14ac:dyDescent="0.25">
      <c r="A1590" s="108">
        <v>9.4939999999999998</v>
      </c>
      <c r="B1590" s="102" t="s">
        <v>51</v>
      </c>
      <c r="C1590" s="103">
        <v>185.1</v>
      </c>
      <c r="D1590" s="167" t="s">
        <v>1323</v>
      </c>
      <c r="E1590" s="104" t="s">
        <v>3641</v>
      </c>
      <c r="F1590" s="102" t="s">
        <v>219</v>
      </c>
      <c r="G1590" s="105">
        <v>1</v>
      </c>
      <c r="H1590" s="106"/>
      <c r="I1590" s="107">
        <v>21212.97</v>
      </c>
      <c r="J1590" s="192">
        <f>ROUND($I1590/$G1590*$N$12,2)</f>
        <v>23726.71</v>
      </c>
      <c r="K1590" s="193">
        <f t="shared" si="158"/>
        <v>23726.71</v>
      </c>
      <c r="L1590" s="193"/>
      <c r="M1590" s="138"/>
      <c r="N1590" s="138"/>
      <c r="O1590" s="138"/>
      <c r="S1590" s="110"/>
      <c r="T1590" s="72"/>
      <c r="U1590" s="72"/>
      <c r="V1590" s="72"/>
    </row>
    <row r="1591" spans="1:22" s="63" customFormat="1" ht="22.5" x14ac:dyDescent="0.25">
      <c r="A1591" s="84">
        <v>9.4949999999999992</v>
      </c>
      <c r="B1591" s="81" t="s">
        <v>51</v>
      </c>
      <c r="C1591" s="82">
        <v>186</v>
      </c>
      <c r="D1591" s="131" t="s">
        <v>1299</v>
      </c>
      <c r="E1591" s="83" t="s">
        <v>1300</v>
      </c>
      <c r="F1591" s="81" t="s">
        <v>207</v>
      </c>
      <c r="G1591" s="84">
        <v>4.8000000000000001E-2</v>
      </c>
      <c r="H1591" s="85"/>
      <c r="I1591" s="86">
        <v>3969.94</v>
      </c>
      <c r="J1591" s="185">
        <f t="shared" ref="J1591:J1599" si="160">ROUND($I1591/$G1591*$N$11,2)</f>
        <v>94170.29</v>
      </c>
      <c r="K1591" s="189">
        <f t="shared" si="158"/>
        <v>4520.17</v>
      </c>
      <c r="L1591" s="189"/>
      <c r="M1591" s="138"/>
      <c r="N1591" s="138"/>
      <c r="O1591" s="138"/>
      <c r="S1591" s="72"/>
      <c r="T1591" s="72"/>
      <c r="U1591" s="72"/>
      <c r="V1591" s="72"/>
    </row>
    <row r="1592" spans="1:22" s="63" customFormat="1" ht="22.5" x14ac:dyDescent="0.25">
      <c r="A1592" s="84">
        <v>9.4960000000000004</v>
      </c>
      <c r="B1592" s="81" t="s">
        <v>51</v>
      </c>
      <c r="C1592" s="80">
        <v>186.1</v>
      </c>
      <c r="D1592" s="131" t="s">
        <v>1301</v>
      </c>
      <c r="E1592" s="83" t="s">
        <v>1302</v>
      </c>
      <c r="F1592" s="81" t="s">
        <v>370</v>
      </c>
      <c r="G1592" s="80">
        <v>4.8</v>
      </c>
      <c r="H1592" s="85"/>
      <c r="I1592" s="86">
        <v>7299.36</v>
      </c>
      <c r="J1592" s="185">
        <f t="shared" si="160"/>
        <v>1731.47</v>
      </c>
      <c r="K1592" s="189">
        <f t="shared" si="158"/>
        <v>8311.06</v>
      </c>
      <c r="L1592" s="189"/>
      <c r="M1592" s="138"/>
      <c r="N1592" s="138"/>
      <c r="O1592" s="138"/>
      <c r="S1592" s="72"/>
      <c r="T1592" s="72"/>
      <c r="U1592" s="72"/>
      <c r="V1592" s="72"/>
    </row>
    <row r="1593" spans="1:22" s="63" customFormat="1" ht="33.75" x14ac:dyDescent="0.25">
      <c r="A1593" s="84">
        <v>9.4969999999999999</v>
      </c>
      <c r="B1593" s="81" t="s">
        <v>51</v>
      </c>
      <c r="C1593" s="80">
        <v>186.2</v>
      </c>
      <c r="D1593" s="131" t="s">
        <v>1116</v>
      </c>
      <c r="E1593" s="83" t="s">
        <v>1117</v>
      </c>
      <c r="F1593" s="81" t="s">
        <v>226</v>
      </c>
      <c r="G1593" s="84">
        <v>1.2E-2</v>
      </c>
      <c r="H1593" s="85"/>
      <c r="I1593" s="86">
        <v>1350.83</v>
      </c>
      <c r="J1593" s="185">
        <f t="shared" si="160"/>
        <v>128171.25</v>
      </c>
      <c r="K1593" s="189">
        <f t="shared" si="158"/>
        <v>1538.06</v>
      </c>
      <c r="L1593" s="189"/>
      <c r="M1593" s="138"/>
      <c r="N1593" s="138"/>
      <c r="O1593" s="138"/>
      <c r="S1593" s="72"/>
      <c r="T1593" s="72"/>
      <c r="U1593" s="72"/>
      <c r="V1593" s="72"/>
    </row>
    <row r="1594" spans="1:22" s="63" customFormat="1" ht="15" x14ac:dyDescent="0.25">
      <c r="A1594" s="84">
        <v>9.4979999999999993</v>
      </c>
      <c r="B1594" s="81" t="s">
        <v>51</v>
      </c>
      <c r="C1594" s="82">
        <v>187</v>
      </c>
      <c r="D1594" s="131" t="s">
        <v>1127</v>
      </c>
      <c r="E1594" s="83" t="s">
        <v>1128</v>
      </c>
      <c r="F1594" s="81" t="s">
        <v>219</v>
      </c>
      <c r="G1594" s="82">
        <v>1</v>
      </c>
      <c r="H1594" s="85"/>
      <c r="I1594" s="86">
        <v>1664.09</v>
      </c>
      <c r="J1594" s="185">
        <f t="shared" si="160"/>
        <v>1894.73</v>
      </c>
      <c r="K1594" s="189">
        <f t="shared" si="158"/>
        <v>1894.73</v>
      </c>
      <c r="L1594" s="189"/>
      <c r="M1594" s="138"/>
      <c r="N1594" s="138"/>
      <c r="O1594" s="138"/>
      <c r="S1594" s="72"/>
      <c r="T1594" s="72"/>
      <c r="U1594" s="72"/>
      <c r="V1594" s="72"/>
    </row>
    <row r="1595" spans="1:22" s="63" customFormat="1" ht="22.5" x14ac:dyDescent="0.25">
      <c r="A1595" s="84">
        <v>9.4990000000000006</v>
      </c>
      <c r="B1595" s="81" t="s">
        <v>51</v>
      </c>
      <c r="C1595" s="80">
        <v>187.1</v>
      </c>
      <c r="D1595" s="131" t="s">
        <v>1311</v>
      </c>
      <c r="E1595" s="83" t="s">
        <v>3632</v>
      </c>
      <c r="F1595" s="81" t="s">
        <v>219</v>
      </c>
      <c r="G1595" s="82">
        <v>1</v>
      </c>
      <c r="H1595" s="85"/>
      <c r="I1595" s="86">
        <v>1382.79</v>
      </c>
      <c r="J1595" s="185">
        <f t="shared" si="160"/>
        <v>1574.44</v>
      </c>
      <c r="K1595" s="189">
        <f t="shared" si="158"/>
        <v>1574.44</v>
      </c>
      <c r="L1595" s="189"/>
      <c r="M1595" s="138"/>
      <c r="N1595" s="138"/>
      <c r="O1595" s="138"/>
      <c r="S1595" s="72"/>
      <c r="T1595" s="72"/>
      <c r="U1595" s="72"/>
      <c r="V1595" s="72"/>
    </row>
    <row r="1596" spans="1:22" s="63" customFormat="1" ht="22.5" x14ac:dyDescent="0.25">
      <c r="A1596" s="84">
        <v>9.5</v>
      </c>
      <c r="B1596" s="81" t="s">
        <v>51</v>
      </c>
      <c r="C1596" s="82">
        <v>188</v>
      </c>
      <c r="D1596" s="131" t="s">
        <v>1324</v>
      </c>
      <c r="E1596" s="83" t="s">
        <v>1325</v>
      </c>
      <c r="F1596" s="81" t="s">
        <v>219</v>
      </c>
      <c r="G1596" s="82">
        <v>1</v>
      </c>
      <c r="H1596" s="85"/>
      <c r="I1596" s="86">
        <v>2126.7399999999998</v>
      </c>
      <c r="J1596" s="185">
        <f t="shared" si="160"/>
        <v>2421.5100000000002</v>
      </c>
      <c r="K1596" s="189">
        <f t="shared" si="158"/>
        <v>2421.5100000000002</v>
      </c>
      <c r="L1596" s="189"/>
      <c r="M1596" s="138"/>
      <c r="N1596" s="138"/>
      <c r="O1596" s="138"/>
      <c r="S1596" s="72"/>
      <c r="T1596" s="72"/>
      <c r="U1596" s="72"/>
      <c r="V1596" s="72"/>
    </row>
    <row r="1597" spans="1:22" s="63" customFormat="1" ht="22.5" x14ac:dyDescent="0.25">
      <c r="A1597" s="84">
        <v>9.5009999999999994</v>
      </c>
      <c r="B1597" s="81" t="s">
        <v>51</v>
      </c>
      <c r="C1597" s="80">
        <v>188.1</v>
      </c>
      <c r="D1597" s="131" t="s">
        <v>1326</v>
      </c>
      <c r="E1597" s="83" t="s">
        <v>1327</v>
      </c>
      <c r="F1597" s="81" t="s">
        <v>370</v>
      </c>
      <c r="G1597" s="80">
        <v>0.5</v>
      </c>
      <c r="H1597" s="85"/>
      <c r="I1597" s="86">
        <v>1144.99</v>
      </c>
      <c r="J1597" s="185">
        <f t="shared" si="160"/>
        <v>2607.37</v>
      </c>
      <c r="K1597" s="189">
        <f t="shared" si="158"/>
        <v>1303.69</v>
      </c>
      <c r="L1597" s="189"/>
      <c r="M1597" s="138"/>
      <c r="N1597" s="138"/>
      <c r="O1597" s="138"/>
      <c r="S1597" s="72"/>
      <c r="T1597" s="72"/>
      <c r="U1597" s="72"/>
      <c r="V1597" s="72"/>
    </row>
    <row r="1598" spans="1:22" s="63" customFormat="1" ht="22.5" x14ac:dyDescent="0.25">
      <c r="A1598" s="84">
        <v>9.5020000000000007</v>
      </c>
      <c r="B1598" s="81" t="s">
        <v>51</v>
      </c>
      <c r="C1598" s="82">
        <v>189</v>
      </c>
      <c r="D1598" s="131" t="s">
        <v>1151</v>
      </c>
      <c r="E1598" s="83" t="s">
        <v>1152</v>
      </c>
      <c r="F1598" s="81" t="s">
        <v>205</v>
      </c>
      <c r="G1598" s="87">
        <v>0.18</v>
      </c>
      <c r="H1598" s="85"/>
      <c r="I1598" s="86">
        <v>4608.75</v>
      </c>
      <c r="J1598" s="185">
        <f t="shared" si="160"/>
        <v>29152.9</v>
      </c>
      <c r="K1598" s="189">
        <f t="shared" si="158"/>
        <v>5247.52</v>
      </c>
      <c r="L1598" s="189"/>
      <c r="M1598" s="138"/>
      <c r="N1598" s="138"/>
      <c r="O1598" s="138"/>
      <c r="S1598" s="72"/>
      <c r="T1598" s="72"/>
      <c r="U1598" s="72"/>
      <c r="V1598" s="72"/>
    </row>
    <row r="1599" spans="1:22" s="63" customFormat="1" ht="22.5" x14ac:dyDescent="0.25">
      <c r="A1599" s="84">
        <v>9.5030000000000001</v>
      </c>
      <c r="B1599" s="81" t="s">
        <v>51</v>
      </c>
      <c r="C1599" s="80">
        <v>189.1</v>
      </c>
      <c r="D1599" s="131" t="s">
        <v>1153</v>
      </c>
      <c r="E1599" s="83" t="s">
        <v>3573</v>
      </c>
      <c r="F1599" s="81" t="s">
        <v>370</v>
      </c>
      <c r="G1599" s="80">
        <v>6.3</v>
      </c>
      <c r="H1599" s="85"/>
      <c r="I1599" s="86">
        <v>2231.46</v>
      </c>
      <c r="J1599" s="185">
        <f t="shared" si="160"/>
        <v>403.29</v>
      </c>
      <c r="K1599" s="189">
        <f t="shared" si="158"/>
        <v>2540.73</v>
      </c>
      <c r="L1599" s="189"/>
      <c r="M1599" s="138"/>
      <c r="N1599" s="138"/>
      <c r="O1599" s="138"/>
      <c r="S1599" s="72"/>
      <c r="T1599" s="72"/>
      <c r="U1599" s="72"/>
      <c r="V1599" s="72"/>
    </row>
    <row r="1600" spans="1:22" s="128" customFormat="1" ht="12.75" x14ac:dyDescent="0.25">
      <c r="A1600" s="242"/>
      <c r="B1600" s="125"/>
      <c r="C1600" s="236"/>
      <c r="D1600" s="77"/>
      <c r="E1600" s="126" t="s">
        <v>3308</v>
      </c>
      <c r="F1600" s="125"/>
      <c r="G1600" s="236"/>
      <c r="H1600" s="127"/>
      <c r="I1600" s="78"/>
      <c r="J1600" s="238"/>
      <c r="K1600" s="239"/>
      <c r="L1600" s="239"/>
      <c r="M1600" s="79"/>
      <c r="N1600" s="79"/>
      <c r="O1600" s="79"/>
      <c r="S1600" s="129"/>
      <c r="T1600" s="129"/>
      <c r="U1600" s="129"/>
      <c r="V1600" s="129"/>
    </row>
    <row r="1601" spans="1:22" s="63" customFormat="1" ht="15" x14ac:dyDescent="0.25">
      <c r="A1601" s="84">
        <v>9.5039999999999996</v>
      </c>
      <c r="B1601" s="81" t="s">
        <v>51</v>
      </c>
      <c r="C1601" s="82">
        <v>190</v>
      </c>
      <c r="D1601" s="131" t="s">
        <v>1265</v>
      </c>
      <c r="E1601" s="83" t="s">
        <v>1266</v>
      </c>
      <c r="F1601" s="81" t="s">
        <v>219</v>
      </c>
      <c r="G1601" s="82">
        <v>1</v>
      </c>
      <c r="H1601" s="85"/>
      <c r="I1601" s="86">
        <v>4846.49</v>
      </c>
      <c r="J1601" s="185">
        <f>ROUND($I1601/$G1601*$N$11,2)</f>
        <v>5518.21</v>
      </c>
      <c r="K1601" s="189">
        <f t="shared" ref="K1601:K1624" si="161">ROUND(G1601*J1601,2)</f>
        <v>5518.21</v>
      </c>
      <c r="L1601" s="189"/>
      <c r="M1601" s="138"/>
      <c r="N1601" s="138"/>
      <c r="O1601" s="138"/>
      <c r="S1601" s="72"/>
      <c r="T1601" s="72"/>
      <c r="U1601" s="72"/>
      <c r="V1601" s="72"/>
    </row>
    <row r="1602" spans="1:22" s="63" customFormat="1" ht="22.5" x14ac:dyDescent="0.25">
      <c r="A1602" s="108">
        <v>9.5050000000000008</v>
      </c>
      <c r="B1602" s="102" t="s">
        <v>51</v>
      </c>
      <c r="C1602" s="103">
        <v>190.1</v>
      </c>
      <c r="D1602" s="167" t="s">
        <v>1328</v>
      </c>
      <c r="E1602" s="104" t="s">
        <v>3642</v>
      </c>
      <c r="F1602" s="102" t="s">
        <v>219</v>
      </c>
      <c r="G1602" s="105">
        <v>1</v>
      </c>
      <c r="H1602" s="106"/>
      <c r="I1602" s="107">
        <v>22153.200000000001</v>
      </c>
      <c r="J1602" s="192">
        <f>ROUND($I1602/$G1602*$N$12,2)</f>
        <v>24778.35</v>
      </c>
      <c r="K1602" s="193">
        <f t="shared" si="161"/>
        <v>24778.35</v>
      </c>
      <c r="L1602" s="193"/>
      <c r="M1602" s="138"/>
      <c r="N1602" s="138"/>
      <c r="O1602" s="138"/>
      <c r="S1602" s="110"/>
      <c r="T1602" s="72"/>
      <c r="U1602" s="72"/>
      <c r="V1602" s="72"/>
    </row>
    <row r="1603" spans="1:22" s="63" customFormat="1" ht="22.5" x14ac:dyDescent="0.25">
      <c r="A1603" s="84">
        <v>9.5060000000000002</v>
      </c>
      <c r="B1603" s="81" t="s">
        <v>51</v>
      </c>
      <c r="C1603" s="82">
        <v>191</v>
      </c>
      <c r="D1603" s="131" t="s">
        <v>1329</v>
      </c>
      <c r="E1603" s="83" t="s">
        <v>1330</v>
      </c>
      <c r="F1603" s="81" t="s">
        <v>219</v>
      </c>
      <c r="G1603" s="82">
        <v>1</v>
      </c>
      <c r="H1603" s="85"/>
      <c r="I1603" s="86">
        <v>10289.780000000001</v>
      </c>
      <c r="J1603" s="185">
        <f>ROUND($I1603/$G1603*$N$11,2)</f>
        <v>11715.94</v>
      </c>
      <c r="K1603" s="189">
        <f t="shared" si="161"/>
        <v>11715.94</v>
      </c>
      <c r="L1603" s="189"/>
      <c r="M1603" s="138"/>
      <c r="N1603" s="138"/>
      <c r="O1603" s="138"/>
      <c r="S1603" s="72"/>
      <c r="T1603" s="72"/>
      <c r="U1603" s="72"/>
      <c r="V1603" s="72"/>
    </row>
    <row r="1604" spans="1:22" s="63" customFormat="1" ht="22.5" x14ac:dyDescent="0.25">
      <c r="A1604" s="84">
        <v>9.5069999999999997</v>
      </c>
      <c r="B1604" s="81" t="s">
        <v>51</v>
      </c>
      <c r="C1604" s="80">
        <v>191.1</v>
      </c>
      <c r="D1604" s="131" t="s">
        <v>1071</v>
      </c>
      <c r="E1604" s="83" t="s">
        <v>1072</v>
      </c>
      <c r="F1604" s="81" t="s">
        <v>226</v>
      </c>
      <c r="G1604" s="88">
        <v>3.0999999999999999E-3</v>
      </c>
      <c r="H1604" s="85"/>
      <c r="I1604" s="86">
        <v>413.45</v>
      </c>
      <c r="J1604" s="185">
        <f>ROUND($I1604/$G1604*$N$11,2)</f>
        <v>151856.18</v>
      </c>
      <c r="K1604" s="189">
        <f t="shared" si="161"/>
        <v>470.75</v>
      </c>
      <c r="L1604" s="189"/>
      <c r="M1604" s="138"/>
      <c r="N1604" s="138"/>
      <c r="O1604" s="138"/>
      <c r="S1604" s="72"/>
      <c r="T1604" s="72"/>
      <c r="U1604" s="72"/>
      <c r="V1604" s="72"/>
    </row>
    <row r="1605" spans="1:22" s="63" customFormat="1" ht="22.5" x14ac:dyDescent="0.25">
      <c r="A1605" s="108">
        <v>9.5079999999999991</v>
      </c>
      <c r="B1605" s="102" t="s">
        <v>51</v>
      </c>
      <c r="C1605" s="103">
        <v>191.2</v>
      </c>
      <c r="D1605" s="167" t="s">
        <v>1331</v>
      </c>
      <c r="E1605" s="104" t="s">
        <v>3643</v>
      </c>
      <c r="F1605" s="102" t="s">
        <v>219</v>
      </c>
      <c r="G1605" s="105">
        <v>1</v>
      </c>
      <c r="H1605" s="106"/>
      <c r="I1605" s="107">
        <v>22385.83</v>
      </c>
      <c r="J1605" s="192">
        <f>ROUND($I1605/$G1605*$N$12,2)</f>
        <v>25038.55</v>
      </c>
      <c r="K1605" s="193">
        <f t="shared" si="161"/>
        <v>25038.55</v>
      </c>
      <c r="L1605" s="193"/>
      <c r="M1605" s="138"/>
      <c r="N1605" s="138"/>
      <c r="O1605" s="138"/>
      <c r="S1605" s="110"/>
      <c r="T1605" s="72"/>
      <c r="U1605" s="72"/>
      <c r="V1605" s="72"/>
    </row>
    <row r="1606" spans="1:22" s="63" customFormat="1" ht="15" x14ac:dyDescent="0.25">
      <c r="A1606" s="84">
        <v>9.5090000000000003</v>
      </c>
      <c r="B1606" s="81" t="s">
        <v>51</v>
      </c>
      <c r="C1606" s="82">
        <v>192</v>
      </c>
      <c r="D1606" s="131" t="s">
        <v>1332</v>
      </c>
      <c r="E1606" s="83" t="s">
        <v>1333</v>
      </c>
      <c r="F1606" s="81" t="s">
        <v>219</v>
      </c>
      <c r="G1606" s="82">
        <v>1</v>
      </c>
      <c r="H1606" s="85"/>
      <c r="I1606" s="86">
        <v>1525.11</v>
      </c>
      <c r="J1606" s="185">
        <f>ROUND($I1606/$G1606*$N$11,2)</f>
        <v>1736.49</v>
      </c>
      <c r="K1606" s="189">
        <f t="shared" si="161"/>
        <v>1736.49</v>
      </c>
      <c r="L1606" s="189"/>
      <c r="M1606" s="138"/>
      <c r="N1606" s="138"/>
      <c r="O1606" s="138"/>
      <c r="S1606" s="72"/>
      <c r="T1606" s="72"/>
      <c r="U1606" s="72"/>
      <c r="V1606" s="72"/>
    </row>
    <row r="1607" spans="1:22" s="63" customFormat="1" ht="33.75" x14ac:dyDescent="0.25">
      <c r="A1607" s="84">
        <v>9.51</v>
      </c>
      <c r="B1607" s="81" t="s">
        <v>51</v>
      </c>
      <c r="C1607" s="80">
        <v>192.1</v>
      </c>
      <c r="D1607" s="131" t="s">
        <v>1334</v>
      </c>
      <c r="E1607" s="83" t="s">
        <v>3644</v>
      </c>
      <c r="F1607" s="81" t="s">
        <v>219</v>
      </c>
      <c r="G1607" s="82">
        <v>1</v>
      </c>
      <c r="H1607" s="85"/>
      <c r="I1607" s="86">
        <v>3510.18</v>
      </c>
      <c r="J1607" s="185">
        <f>ROUND($I1607/$G1607*$N$11,2)</f>
        <v>3996.69</v>
      </c>
      <c r="K1607" s="189">
        <f t="shared" si="161"/>
        <v>3996.69</v>
      </c>
      <c r="L1607" s="189"/>
      <c r="M1607" s="138"/>
      <c r="N1607" s="138"/>
      <c r="O1607" s="138"/>
      <c r="S1607" s="72"/>
      <c r="T1607" s="72"/>
      <c r="U1607" s="72"/>
      <c r="V1607" s="72"/>
    </row>
    <row r="1608" spans="1:22" s="63" customFormat="1" ht="15" x14ac:dyDescent="0.25">
      <c r="A1608" s="84">
        <v>9.5109999999999992</v>
      </c>
      <c r="B1608" s="81" t="s">
        <v>51</v>
      </c>
      <c r="C1608" s="82">
        <v>193</v>
      </c>
      <c r="D1608" s="131" t="s">
        <v>1273</v>
      </c>
      <c r="E1608" s="83" t="s">
        <v>1274</v>
      </c>
      <c r="F1608" s="81" t="s">
        <v>370</v>
      </c>
      <c r="G1608" s="80">
        <v>0.3</v>
      </c>
      <c r="H1608" s="85"/>
      <c r="I1608" s="86">
        <v>1861.06</v>
      </c>
      <c r="J1608" s="185">
        <f>ROUND($I1608/$G1608*$N$11,2)</f>
        <v>7063.34</v>
      </c>
      <c r="K1608" s="189">
        <f t="shared" si="161"/>
        <v>2119</v>
      </c>
      <c r="L1608" s="189"/>
      <c r="M1608" s="138"/>
      <c r="N1608" s="138"/>
      <c r="O1608" s="138"/>
      <c r="S1608" s="72"/>
      <c r="T1608" s="72"/>
      <c r="U1608" s="72"/>
      <c r="V1608" s="72"/>
    </row>
    <row r="1609" spans="1:22" s="63" customFormat="1" ht="15" x14ac:dyDescent="0.25">
      <c r="A1609" s="84">
        <v>9.5120000000000005</v>
      </c>
      <c r="B1609" s="81" t="s">
        <v>51</v>
      </c>
      <c r="C1609" s="80">
        <v>193.1</v>
      </c>
      <c r="D1609" s="131" t="s">
        <v>1335</v>
      </c>
      <c r="E1609" s="83" t="s">
        <v>3645</v>
      </c>
      <c r="F1609" s="81" t="s">
        <v>219</v>
      </c>
      <c r="G1609" s="82">
        <v>2</v>
      </c>
      <c r="H1609" s="85"/>
      <c r="I1609" s="86">
        <v>2344.41</v>
      </c>
      <c r="J1609" s="185">
        <f>ROUND($I1609/$G1609*$N$11,2)</f>
        <v>1334.67</v>
      </c>
      <c r="K1609" s="189">
        <f t="shared" si="161"/>
        <v>2669.34</v>
      </c>
      <c r="L1609" s="189"/>
      <c r="M1609" s="138"/>
      <c r="N1609" s="138"/>
      <c r="O1609" s="138"/>
      <c r="S1609" s="72"/>
      <c r="T1609" s="72"/>
      <c r="U1609" s="72"/>
      <c r="V1609" s="72"/>
    </row>
    <row r="1610" spans="1:22" s="63" customFormat="1" ht="22.5" x14ac:dyDescent="0.25">
      <c r="A1610" s="84">
        <v>9.5129999999999999</v>
      </c>
      <c r="B1610" s="81" t="s">
        <v>51</v>
      </c>
      <c r="C1610" s="82">
        <v>194</v>
      </c>
      <c r="D1610" s="131" t="s">
        <v>783</v>
      </c>
      <c r="E1610" s="83" t="s">
        <v>1078</v>
      </c>
      <c r="F1610" s="81" t="s">
        <v>219</v>
      </c>
      <c r="G1610" s="82">
        <v>1</v>
      </c>
      <c r="H1610" s="85"/>
      <c r="I1610" s="86">
        <v>3276.2</v>
      </c>
      <c r="J1610" s="185">
        <f>ROUND($I1610/$G1610*$N$11,2)</f>
        <v>3730.28</v>
      </c>
      <c r="K1610" s="189">
        <f t="shared" si="161"/>
        <v>3730.28</v>
      </c>
      <c r="L1610" s="189"/>
      <c r="M1610" s="138"/>
      <c r="N1610" s="138"/>
      <c r="O1610" s="138"/>
      <c r="S1610" s="72"/>
      <c r="T1610" s="72"/>
      <c r="U1610" s="72"/>
      <c r="V1610" s="72"/>
    </row>
    <row r="1611" spans="1:22" s="63" customFormat="1" ht="22.5" x14ac:dyDescent="0.25">
      <c r="A1611" s="108">
        <v>9.5139999999999993</v>
      </c>
      <c r="B1611" s="102" t="s">
        <v>51</v>
      </c>
      <c r="C1611" s="103">
        <v>194.1</v>
      </c>
      <c r="D1611" s="167" t="s">
        <v>1336</v>
      </c>
      <c r="E1611" s="104" t="s">
        <v>3646</v>
      </c>
      <c r="F1611" s="102" t="s">
        <v>219</v>
      </c>
      <c r="G1611" s="105">
        <v>1</v>
      </c>
      <c r="H1611" s="106"/>
      <c r="I1611" s="107">
        <v>37386.559999999998</v>
      </c>
      <c r="J1611" s="192">
        <f>ROUND($I1611/$G1611*$N$12,2)</f>
        <v>41816.870000000003</v>
      </c>
      <c r="K1611" s="193">
        <f t="shared" si="161"/>
        <v>41816.870000000003</v>
      </c>
      <c r="L1611" s="193"/>
      <c r="M1611" s="138"/>
      <c r="N1611" s="138"/>
      <c r="O1611" s="138"/>
      <c r="S1611" s="110"/>
      <c r="T1611" s="72"/>
      <c r="U1611" s="72"/>
      <c r="V1611" s="72"/>
    </row>
    <row r="1612" spans="1:22" s="63" customFormat="1" ht="15" x14ac:dyDescent="0.25">
      <c r="A1612" s="84">
        <v>9.5150000000000006</v>
      </c>
      <c r="B1612" s="81" t="s">
        <v>51</v>
      </c>
      <c r="C1612" s="82">
        <v>195</v>
      </c>
      <c r="D1612" s="131" t="s">
        <v>733</v>
      </c>
      <c r="E1612" s="83" t="s">
        <v>734</v>
      </c>
      <c r="F1612" s="81" t="s">
        <v>219</v>
      </c>
      <c r="G1612" s="82">
        <v>3</v>
      </c>
      <c r="H1612" s="85"/>
      <c r="I1612" s="86">
        <v>3047.22</v>
      </c>
      <c r="J1612" s="185">
        <f>ROUND($I1612/$G1612*$N$11,2)</f>
        <v>1156.52</v>
      </c>
      <c r="K1612" s="189">
        <f t="shared" si="161"/>
        <v>3469.56</v>
      </c>
      <c r="L1612" s="189"/>
      <c r="M1612" s="138"/>
      <c r="N1612" s="138"/>
      <c r="O1612" s="138"/>
      <c r="S1612" s="72"/>
      <c r="T1612" s="72"/>
      <c r="U1612" s="72"/>
      <c r="V1612" s="72"/>
    </row>
    <row r="1613" spans="1:22" s="63" customFormat="1" ht="22.5" x14ac:dyDescent="0.25">
      <c r="A1613" s="108">
        <v>9.516</v>
      </c>
      <c r="B1613" s="102" t="s">
        <v>51</v>
      </c>
      <c r="C1613" s="103">
        <v>195.1</v>
      </c>
      <c r="D1613" s="167" t="s">
        <v>1337</v>
      </c>
      <c r="E1613" s="104" t="s">
        <v>1338</v>
      </c>
      <c r="F1613" s="102" t="s">
        <v>219</v>
      </c>
      <c r="G1613" s="105">
        <v>1</v>
      </c>
      <c r="H1613" s="106"/>
      <c r="I1613" s="107">
        <v>2061.36</v>
      </c>
      <c r="J1613" s="192">
        <f>ROUND($I1613/$G1613*$N$12,2)</f>
        <v>2305.63</v>
      </c>
      <c r="K1613" s="193">
        <f t="shared" si="161"/>
        <v>2305.63</v>
      </c>
      <c r="L1613" s="193"/>
      <c r="M1613" s="138"/>
      <c r="N1613" s="138"/>
      <c r="O1613" s="138"/>
      <c r="S1613" s="110"/>
      <c r="T1613" s="72"/>
      <c r="U1613" s="72"/>
      <c r="V1613" s="72"/>
    </row>
    <row r="1614" spans="1:22" s="63" customFormat="1" ht="22.5" x14ac:dyDescent="0.25">
      <c r="A1614" s="108">
        <v>9.5169999999999995</v>
      </c>
      <c r="B1614" s="102" t="s">
        <v>51</v>
      </c>
      <c r="C1614" s="103">
        <v>195.2</v>
      </c>
      <c r="D1614" s="167" t="s">
        <v>1339</v>
      </c>
      <c r="E1614" s="104" t="s">
        <v>1340</v>
      </c>
      <c r="F1614" s="102" t="s">
        <v>566</v>
      </c>
      <c r="G1614" s="103">
        <v>0.1</v>
      </c>
      <c r="H1614" s="106"/>
      <c r="I1614" s="107">
        <v>993.28</v>
      </c>
      <c r="J1614" s="192">
        <f>ROUND($I1614/$G1614*$N$12,2)</f>
        <v>11109.84</v>
      </c>
      <c r="K1614" s="193">
        <f t="shared" si="161"/>
        <v>1110.98</v>
      </c>
      <c r="L1614" s="193"/>
      <c r="M1614" s="138"/>
      <c r="N1614" s="138"/>
      <c r="O1614" s="138"/>
      <c r="S1614" s="110"/>
      <c r="T1614" s="72"/>
      <c r="U1614" s="72"/>
      <c r="V1614" s="72"/>
    </row>
    <row r="1615" spans="1:22" s="63" customFormat="1" ht="22.5" x14ac:dyDescent="0.25">
      <c r="A1615" s="108">
        <v>9.5180000000000007</v>
      </c>
      <c r="B1615" s="102" t="s">
        <v>51</v>
      </c>
      <c r="C1615" s="103">
        <v>195.3</v>
      </c>
      <c r="D1615" s="167" t="s">
        <v>1341</v>
      </c>
      <c r="E1615" s="104" t="s">
        <v>1342</v>
      </c>
      <c r="F1615" s="102" t="s">
        <v>219</v>
      </c>
      <c r="G1615" s="105">
        <v>1</v>
      </c>
      <c r="H1615" s="106"/>
      <c r="I1615" s="107">
        <v>3836.02</v>
      </c>
      <c r="J1615" s="192">
        <f>ROUND($I1615/$G1615*$N$12,2)</f>
        <v>4290.59</v>
      </c>
      <c r="K1615" s="193">
        <f t="shared" si="161"/>
        <v>4290.59</v>
      </c>
      <c r="L1615" s="193"/>
      <c r="M1615" s="138"/>
      <c r="N1615" s="138"/>
      <c r="O1615" s="138"/>
      <c r="S1615" s="72"/>
      <c r="T1615" s="72"/>
      <c r="U1615" s="72"/>
      <c r="V1615" s="72"/>
    </row>
    <row r="1616" spans="1:22" s="63" customFormat="1" ht="22.5" x14ac:dyDescent="0.25">
      <c r="A1616" s="84">
        <v>9.5190000000000001</v>
      </c>
      <c r="B1616" s="81" t="s">
        <v>51</v>
      </c>
      <c r="C1616" s="82">
        <v>196</v>
      </c>
      <c r="D1616" s="131" t="s">
        <v>1343</v>
      </c>
      <c r="E1616" s="83" t="s">
        <v>1344</v>
      </c>
      <c r="F1616" s="81" t="s">
        <v>207</v>
      </c>
      <c r="G1616" s="88">
        <v>4.4499999999999998E-2</v>
      </c>
      <c r="H1616" s="85"/>
      <c r="I1616" s="86">
        <v>6902.84</v>
      </c>
      <c r="J1616" s="185">
        <f t="shared" ref="J1616:J1624" si="162">ROUND($I1616/$G1616*$N$11,2)</f>
        <v>176619.63</v>
      </c>
      <c r="K1616" s="189">
        <f t="shared" si="161"/>
        <v>7859.57</v>
      </c>
      <c r="L1616" s="189"/>
      <c r="M1616" s="138"/>
      <c r="N1616" s="138"/>
      <c r="O1616" s="138"/>
      <c r="S1616" s="72"/>
      <c r="T1616" s="72"/>
      <c r="U1616" s="72"/>
      <c r="V1616" s="72"/>
    </row>
    <row r="1617" spans="1:22" s="63" customFormat="1" ht="33.75" x14ac:dyDescent="0.25">
      <c r="A1617" s="84">
        <v>9.52</v>
      </c>
      <c r="B1617" s="81" t="s">
        <v>51</v>
      </c>
      <c r="C1617" s="80">
        <v>196.1</v>
      </c>
      <c r="D1617" s="131" t="s">
        <v>1108</v>
      </c>
      <c r="E1617" s="83" t="s">
        <v>3647</v>
      </c>
      <c r="F1617" s="81" t="s">
        <v>370</v>
      </c>
      <c r="G1617" s="87">
        <v>4.45</v>
      </c>
      <c r="H1617" s="85"/>
      <c r="I1617" s="86">
        <v>5623.35</v>
      </c>
      <c r="J1617" s="185">
        <f t="shared" si="162"/>
        <v>1438.82</v>
      </c>
      <c r="K1617" s="189">
        <f t="shared" si="161"/>
        <v>6402.75</v>
      </c>
      <c r="L1617" s="189"/>
      <c r="M1617" s="138"/>
      <c r="N1617" s="138"/>
      <c r="O1617" s="138"/>
      <c r="S1617" s="72"/>
      <c r="T1617" s="72"/>
      <c r="U1617" s="72"/>
      <c r="V1617" s="72"/>
    </row>
    <row r="1618" spans="1:22" s="63" customFormat="1" ht="33.75" x14ac:dyDescent="0.25">
      <c r="A1618" s="84">
        <v>9.5210000000000008</v>
      </c>
      <c r="B1618" s="81" t="s">
        <v>51</v>
      </c>
      <c r="C1618" s="80">
        <v>196.2</v>
      </c>
      <c r="D1618" s="131" t="s">
        <v>1116</v>
      </c>
      <c r="E1618" s="83" t="s">
        <v>1117</v>
      </c>
      <c r="F1618" s="81" t="s">
        <v>226</v>
      </c>
      <c r="G1618" s="84">
        <v>1.4999999999999999E-2</v>
      </c>
      <c r="H1618" s="85"/>
      <c r="I1618" s="86">
        <v>1688.53</v>
      </c>
      <c r="J1618" s="185">
        <f t="shared" si="162"/>
        <v>128170.68</v>
      </c>
      <c r="K1618" s="189">
        <f t="shared" si="161"/>
        <v>1922.56</v>
      </c>
      <c r="L1618" s="189"/>
      <c r="M1618" s="138"/>
      <c r="N1618" s="138"/>
      <c r="O1618" s="138"/>
      <c r="S1618" s="72"/>
      <c r="T1618" s="72"/>
      <c r="U1618" s="72"/>
      <c r="V1618" s="72"/>
    </row>
    <row r="1619" spans="1:22" s="63" customFormat="1" ht="15" x14ac:dyDescent="0.25">
      <c r="A1619" s="84">
        <v>9.5220000000000002</v>
      </c>
      <c r="B1619" s="81" t="s">
        <v>51</v>
      </c>
      <c r="C1619" s="82">
        <v>197</v>
      </c>
      <c r="D1619" s="131" t="s">
        <v>1127</v>
      </c>
      <c r="E1619" s="83" t="s">
        <v>1128</v>
      </c>
      <c r="F1619" s="81" t="s">
        <v>219</v>
      </c>
      <c r="G1619" s="82">
        <v>1</v>
      </c>
      <c r="H1619" s="85"/>
      <c r="I1619" s="86">
        <v>1664.09</v>
      </c>
      <c r="J1619" s="185">
        <f t="shared" si="162"/>
        <v>1894.73</v>
      </c>
      <c r="K1619" s="189">
        <f t="shared" si="161"/>
        <v>1894.73</v>
      </c>
      <c r="L1619" s="189"/>
      <c r="M1619" s="138"/>
      <c r="N1619" s="138"/>
      <c r="O1619" s="138"/>
      <c r="S1619" s="72"/>
      <c r="T1619" s="72"/>
      <c r="U1619" s="72"/>
      <c r="V1619" s="72"/>
    </row>
    <row r="1620" spans="1:22" s="63" customFormat="1" ht="22.5" x14ac:dyDescent="0.25">
      <c r="A1620" s="84">
        <v>9.5229999999999997</v>
      </c>
      <c r="B1620" s="81" t="s">
        <v>51</v>
      </c>
      <c r="C1620" s="80">
        <v>197.1</v>
      </c>
      <c r="D1620" s="131" t="s">
        <v>1345</v>
      </c>
      <c r="E1620" s="83" t="s">
        <v>1346</v>
      </c>
      <c r="F1620" s="81" t="s">
        <v>219</v>
      </c>
      <c r="G1620" s="82">
        <v>1</v>
      </c>
      <c r="H1620" s="85"/>
      <c r="I1620" s="86">
        <v>1586.15</v>
      </c>
      <c r="J1620" s="185">
        <f t="shared" si="162"/>
        <v>1805.99</v>
      </c>
      <c r="K1620" s="189">
        <f t="shared" si="161"/>
        <v>1805.99</v>
      </c>
      <c r="L1620" s="189"/>
      <c r="M1620" s="138"/>
      <c r="N1620" s="138"/>
      <c r="O1620" s="138"/>
      <c r="S1620" s="72"/>
      <c r="T1620" s="72"/>
      <c r="U1620" s="72"/>
      <c r="V1620" s="72"/>
    </row>
    <row r="1621" spans="1:22" s="63" customFormat="1" ht="22.5" x14ac:dyDescent="0.25">
      <c r="A1621" s="84">
        <v>9.5239999999999991</v>
      </c>
      <c r="B1621" s="81" t="s">
        <v>51</v>
      </c>
      <c r="C1621" s="82">
        <v>198</v>
      </c>
      <c r="D1621" s="131" t="s">
        <v>1347</v>
      </c>
      <c r="E1621" s="83" t="s">
        <v>1348</v>
      </c>
      <c r="F1621" s="81" t="s">
        <v>219</v>
      </c>
      <c r="G1621" s="82">
        <v>1</v>
      </c>
      <c r="H1621" s="85"/>
      <c r="I1621" s="86">
        <v>1204.97</v>
      </c>
      <c r="J1621" s="185">
        <f t="shared" si="162"/>
        <v>1371.98</v>
      </c>
      <c r="K1621" s="189">
        <f t="shared" si="161"/>
        <v>1371.98</v>
      </c>
      <c r="L1621" s="189"/>
      <c r="M1621" s="138"/>
      <c r="N1621" s="138"/>
      <c r="O1621" s="138"/>
      <c r="S1621" s="72"/>
      <c r="T1621" s="72"/>
      <c r="U1621" s="72"/>
      <c r="V1621" s="72"/>
    </row>
    <row r="1622" spans="1:22" s="63" customFormat="1" ht="22.5" x14ac:dyDescent="0.25">
      <c r="A1622" s="84">
        <v>9.5250000000000004</v>
      </c>
      <c r="B1622" s="81" t="s">
        <v>51</v>
      </c>
      <c r="C1622" s="80">
        <v>198.1</v>
      </c>
      <c r="D1622" s="131" t="s">
        <v>1326</v>
      </c>
      <c r="E1622" s="83" t="s">
        <v>1327</v>
      </c>
      <c r="F1622" s="81" t="s">
        <v>370</v>
      </c>
      <c r="G1622" s="87">
        <v>0.09</v>
      </c>
      <c r="H1622" s="85"/>
      <c r="I1622" s="86">
        <v>206.1</v>
      </c>
      <c r="J1622" s="185">
        <f t="shared" si="162"/>
        <v>2607.39</v>
      </c>
      <c r="K1622" s="189">
        <f t="shared" si="161"/>
        <v>234.67</v>
      </c>
      <c r="L1622" s="189"/>
      <c r="M1622" s="138"/>
      <c r="N1622" s="138"/>
      <c r="O1622" s="138"/>
      <c r="S1622" s="72"/>
      <c r="T1622" s="72"/>
      <c r="U1622" s="72"/>
      <c r="V1622" s="72"/>
    </row>
    <row r="1623" spans="1:22" s="63" customFormat="1" ht="22.5" x14ac:dyDescent="0.25">
      <c r="A1623" s="84">
        <v>9.5259999999999998</v>
      </c>
      <c r="B1623" s="81" t="s">
        <v>51</v>
      </c>
      <c r="C1623" s="82">
        <v>199</v>
      </c>
      <c r="D1623" s="131" t="s">
        <v>1151</v>
      </c>
      <c r="E1623" s="83" t="s">
        <v>1152</v>
      </c>
      <c r="F1623" s="81" t="s">
        <v>205</v>
      </c>
      <c r="G1623" s="84">
        <v>0.13500000000000001</v>
      </c>
      <c r="H1623" s="85"/>
      <c r="I1623" s="86">
        <v>3457.02</v>
      </c>
      <c r="J1623" s="185">
        <f t="shared" si="162"/>
        <v>29156.76</v>
      </c>
      <c r="K1623" s="189">
        <f t="shared" si="161"/>
        <v>3936.16</v>
      </c>
      <c r="L1623" s="189"/>
      <c r="M1623" s="138"/>
      <c r="N1623" s="138"/>
      <c r="O1623" s="138"/>
      <c r="S1623" s="72"/>
      <c r="T1623" s="72"/>
      <c r="U1623" s="72"/>
      <c r="V1623" s="72"/>
    </row>
    <row r="1624" spans="1:22" s="63" customFormat="1" ht="22.5" x14ac:dyDescent="0.25">
      <c r="A1624" s="84">
        <v>9.5269999999999992</v>
      </c>
      <c r="B1624" s="81" t="s">
        <v>51</v>
      </c>
      <c r="C1624" s="80">
        <v>199.1</v>
      </c>
      <c r="D1624" s="131" t="s">
        <v>1153</v>
      </c>
      <c r="E1624" s="83" t="s">
        <v>3573</v>
      </c>
      <c r="F1624" s="81" t="s">
        <v>370</v>
      </c>
      <c r="G1624" s="84">
        <v>4.7249999999999996</v>
      </c>
      <c r="H1624" s="85"/>
      <c r="I1624" s="86">
        <v>1673.61</v>
      </c>
      <c r="J1624" s="185">
        <f t="shared" si="162"/>
        <v>403.3</v>
      </c>
      <c r="K1624" s="189">
        <f t="shared" si="161"/>
        <v>1905.59</v>
      </c>
      <c r="L1624" s="189"/>
      <c r="M1624" s="138"/>
      <c r="N1624" s="138"/>
      <c r="O1624" s="138"/>
      <c r="S1624" s="72"/>
      <c r="T1624" s="72"/>
      <c r="U1624" s="72"/>
      <c r="V1624" s="72"/>
    </row>
    <row r="1625" spans="1:22" s="128" customFormat="1" ht="12.75" x14ac:dyDescent="0.25">
      <c r="A1625" s="242"/>
      <c r="B1625" s="125"/>
      <c r="C1625" s="236"/>
      <c r="D1625" s="77"/>
      <c r="E1625" s="126" t="s">
        <v>3309</v>
      </c>
      <c r="F1625" s="125"/>
      <c r="G1625" s="242"/>
      <c r="H1625" s="127"/>
      <c r="I1625" s="78"/>
      <c r="J1625" s="238"/>
      <c r="K1625" s="239"/>
      <c r="L1625" s="239"/>
      <c r="M1625" s="79"/>
      <c r="N1625" s="79"/>
      <c r="O1625" s="79"/>
      <c r="S1625" s="129"/>
      <c r="T1625" s="129"/>
      <c r="U1625" s="129"/>
      <c r="V1625" s="129"/>
    </row>
    <row r="1626" spans="1:22" s="63" customFormat="1" ht="15" x14ac:dyDescent="0.25">
      <c r="A1626" s="84">
        <v>9.5280000000000005</v>
      </c>
      <c r="B1626" s="81" t="s">
        <v>51</v>
      </c>
      <c r="C1626" s="82">
        <v>200</v>
      </c>
      <c r="D1626" s="131" t="s">
        <v>1318</v>
      </c>
      <c r="E1626" s="83" t="s">
        <v>1319</v>
      </c>
      <c r="F1626" s="81" t="s">
        <v>219</v>
      </c>
      <c r="G1626" s="82">
        <v>1</v>
      </c>
      <c r="H1626" s="85"/>
      <c r="I1626" s="86">
        <v>9638.75</v>
      </c>
      <c r="J1626" s="185">
        <f>ROUND($I1626/$G1626*$N$11,2)</f>
        <v>10974.68</v>
      </c>
      <c r="K1626" s="189">
        <f t="shared" ref="K1626:K1637" si="163">ROUND(G1626*J1626,2)</f>
        <v>10974.68</v>
      </c>
      <c r="L1626" s="189"/>
      <c r="M1626" s="138"/>
      <c r="N1626" s="138"/>
      <c r="O1626" s="138"/>
      <c r="S1626" s="72"/>
      <c r="T1626" s="72"/>
      <c r="U1626" s="72"/>
      <c r="V1626" s="72"/>
    </row>
    <row r="1627" spans="1:22" s="63" customFormat="1" ht="22.5" x14ac:dyDescent="0.25">
      <c r="A1627" s="84">
        <v>9.5289999999999999</v>
      </c>
      <c r="B1627" s="81" t="s">
        <v>51</v>
      </c>
      <c r="C1627" s="80">
        <v>200.1</v>
      </c>
      <c r="D1627" s="131" t="s">
        <v>1071</v>
      </c>
      <c r="E1627" s="83" t="s">
        <v>1072</v>
      </c>
      <c r="F1627" s="81" t="s">
        <v>226</v>
      </c>
      <c r="G1627" s="88">
        <v>1.4E-3</v>
      </c>
      <c r="H1627" s="85"/>
      <c r="I1627" s="86">
        <v>186.75</v>
      </c>
      <c r="J1627" s="185">
        <f>ROUND($I1627/$G1627*$N$11,2)</f>
        <v>151881.10999999999</v>
      </c>
      <c r="K1627" s="189">
        <f t="shared" si="163"/>
        <v>212.63</v>
      </c>
      <c r="L1627" s="189"/>
      <c r="M1627" s="138"/>
      <c r="N1627" s="138"/>
      <c r="O1627" s="138"/>
      <c r="S1627" s="72"/>
      <c r="T1627" s="72"/>
      <c r="U1627" s="72"/>
      <c r="V1627" s="72"/>
    </row>
    <row r="1628" spans="1:22" s="63" customFormat="1" ht="22.5" x14ac:dyDescent="0.25">
      <c r="A1628" s="108">
        <v>9.5299999999999994</v>
      </c>
      <c r="B1628" s="102" t="s">
        <v>51</v>
      </c>
      <c r="C1628" s="103">
        <v>200.2</v>
      </c>
      <c r="D1628" s="167" t="s">
        <v>1349</v>
      </c>
      <c r="E1628" s="104" t="s">
        <v>3648</v>
      </c>
      <c r="F1628" s="102" t="s">
        <v>219</v>
      </c>
      <c r="G1628" s="105">
        <v>1</v>
      </c>
      <c r="H1628" s="106"/>
      <c r="I1628" s="107">
        <v>40680.17</v>
      </c>
      <c r="J1628" s="192">
        <f>ROUND($I1628/$G1628*$N$12,2)</f>
        <v>45500.77</v>
      </c>
      <c r="K1628" s="193">
        <f t="shared" si="163"/>
        <v>45500.77</v>
      </c>
      <c r="L1628" s="193"/>
      <c r="M1628" s="138"/>
      <c r="N1628" s="138"/>
      <c r="O1628" s="138"/>
      <c r="S1628" s="110"/>
      <c r="T1628" s="72"/>
      <c r="U1628" s="72"/>
      <c r="V1628" s="72"/>
    </row>
    <row r="1629" spans="1:22" s="63" customFormat="1" ht="22.5" x14ac:dyDescent="0.25">
      <c r="A1629" s="84">
        <v>9.5310000000000006</v>
      </c>
      <c r="B1629" s="81" t="s">
        <v>51</v>
      </c>
      <c r="C1629" s="82">
        <v>201</v>
      </c>
      <c r="D1629" s="131" t="s">
        <v>1225</v>
      </c>
      <c r="E1629" s="83" t="s">
        <v>1226</v>
      </c>
      <c r="F1629" s="81" t="s">
        <v>566</v>
      </c>
      <c r="G1629" s="80">
        <v>0.1</v>
      </c>
      <c r="H1629" s="85"/>
      <c r="I1629" s="86">
        <v>6364.14</v>
      </c>
      <c r="J1629" s="185">
        <f t="shared" ref="J1629:J1634" si="164">ROUND($I1629/$G1629*$N$11,2)</f>
        <v>72462.100000000006</v>
      </c>
      <c r="K1629" s="189">
        <f t="shared" si="163"/>
        <v>7246.21</v>
      </c>
      <c r="L1629" s="189"/>
      <c r="M1629" s="138"/>
      <c r="N1629" s="138"/>
      <c r="O1629" s="138"/>
      <c r="S1629" s="72"/>
      <c r="T1629" s="72"/>
      <c r="U1629" s="72"/>
      <c r="V1629" s="72"/>
    </row>
    <row r="1630" spans="1:22" s="63" customFormat="1" ht="22.5" x14ac:dyDescent="0.25">
      <c r="A1630" s="84">
        <v>9.532</v>
      </c>
      <c r="B1630" s="81" t="s">
        <v>51</v>
      </c>
      <c r="C1630" s="80">
        <v>201.1</v>
      </c>
      <c r="D1630" s="131" t="s">
        <v>1350</v>
      </c>
      <c r="E1630" s="83" t="s">
        <v>3649</v>
      </c>
      <c r="F1630" s="81" t="s">
        <v>219</v>
      </c>
      <c r="G1630" s="82">
        <v>1</v>
      </c>
      <c r="H1630" s="85"/>
      <c r="I1630" s="86">
        <v>20071.82</v>
      </c>
      <c r="J1630" s="185">
        <f t="shared" si="164"/>
        <v>22853.77</v>
      </c>
      <c r="K1630" s="189">
        <f t="shared" si="163"/>
        <v>22853.77</v>
      </c>
      <c r="L1630" s="189"/>
      <c r="M1630" s="138"/>
      <c r="N1630" s="138"/>
      <c r="O1630" s="138"/>
      <c r="S1630" s="72"/>
      <c r="T1630" s="72"/>
      <c r="U1630" s="72"/>
      <c r="V1630" s="72"/>
    </row>
    <row r="1631" spans="1:22" s="63" customFormat="1" ht="15" x14ac:dyDescent="0.25">
      <c r="A1631" s="84">
        <v>9.5329999999999995</v>
      </c>
      <c r="B1631" s="81" t="s">
        <v>51</v>
      </c>
      <c r="C1631" s="82">
        <v>202</v>
      </c>
      <c r="D1631" s="131" t="s">
        <v>1307</v>
      </c>
      <c r="E1631" s="83" t="s">
        <v>1308</v>
      </c>
      <c r="F1631" s="81" t="s">
        <v>219</v>
      </c>
      <c r="G1631" s="82">
        <v>1</v>
      </c>
      <c r="H1631" s="85"/>
      <c r="I1631" s="86">
        <v>2495.25</v>
      </c>
      <c r="J1631" s="185">
        <f t="shared" si="164"/>
        <v>2841.09</v>
      </c>
      <c r="K1631" s="189">
        <f t="shared" si="163"/>
        <v>2841.09</v>
      </c>
      <c r="L1631" s="189"/>
      <c r="M1631" s="138"/>
      <c r="N1631" s="138"/>
      <c r="O1631" s="138"/>
      <c r="S1631" s="72"/>
      <c r="T1631" s="72"/>
      <c r="U1631" s="72"/>
      <c r="V1631" s="72"/>
    </row>
    <row r="1632" spans="1:22" s="63" customFormat="1" ht="22.5" x14ac:dyDescent="0.25">
      <c r="A1632" s="84">
        <v>9.5340000000000007</v>
      </c>
      <c r="B1632" s="81" t="s">
        <v>51</v>
      </c>
      <c r="C1632" s="80">
        <v>202.1</v>
      </c>
      <c r="D1632" s="131" t="s">
        <v>1351</v>
      </c>
      <c r="E1632" s="83" t="s">
        <v>3650</v>
      </c>
      <c r="F1632" s="81" t="s">
        <v>219</v>
      </c>
      <c r="G1632" s="82">
        <v>1</v>
      </c>
      <c r="H1632" s="85"/>
      <c r="I1632" s="86">
        <v>11049.65</v>
      </c>
      <c r="J1632" s="185">
        <f t="shared" si="164"/>
        <v>12581.13</v>
      </c>
      <c r="K1632" s="189">
        <f t="shared" si="163"/>
        <v>12581.13</v>
      </c>
      <c r="L1632" s="189"/>
      <c r="M1632" s="138"/>
      <c r="N1632" s="138"/>
      <c r="O1632" s="138"/>
      <c r="S1632" s="72"/>
      <c r="T1632" s="72"/>
      <c r="U1632" s="72"/>
      <c r="V1632" s="72"/>
    </row>
    <row r="1633" spans="1:22" s="63" customFormat="1" ht="22.5" x14ac:dyDescent="0.25">
      <c r="A1633" s="84">
        <v>9.5350000000000001</v>
      </c>
      <c r="B1633" s="81" t="s">
        <v>51</v>
      </c>
      <c r="C1633" s="80">
        <v>202.2</v>
      </c>
      <c r="D1633" s="131" t="s">
        <v>1352</v>
      </c>
      <c r="E1633" s="83" t="s">
        <v>3651</v>
      </c>
      <c r="F1633" s="81" t="s">
        <v>219</v>
      </c>
      <c r="G1633" s="82">
        <v>1</v>
      </c>
      <c r="H1633" s="85"/>
      <c r="I1633" s="86">
        <v>7920.25</v>
      </c>
      <c r="J1633" s="185">
        <f t="shared" si="164"/>
        <v>9018</v>
      </c>
      <c r="K1633" s="189">
        <f t="shared" si="163"/>
        <v>9018</v>
      </c>
      <c r="L1633" s="189"/>
      <c r="M1633" s="138"/>
      <c r="N1633" s="138"/>
      <c r="O1633" s="138"/>
      <c r="S1633" s="72"/>
      <c r="T1633" s="72"/>
      <c r="U1633" s="72"/>
      <c r="V1633" s="72"/>
    </row>
    <row r="1634" spans="1:22" s="63" customFormat="1" ht="22.5" x14ac:dyDescent="0.25">
      <c r="A1634" s="84">
        <v>9.5359999999999996</v>
      </c>
      <c r="B1634" s="81" t="s">
        <v>51</v>
      </c>
      <c r="C1634" s="82">
        <v>203</v>
      </c>
      <c r="D1634" s="131" t="s">
        <v>783</v>
      </c>
      <c r="E1634" s="83" t="s">
        <v>1078</v>
      </c>
      <c r="F1634" s="81" t="s">
        <v>219</v>
      </c>
      <c r="G1634" s="82">
        <v>1</v>
      </c>
      <c r="H1634" s="85"/>
      <c r="I1634" s="86">
        <v>3276.2</v>
      </c>
      <c r="J1634" s="185">
        <f t="shared" si="164"/>
        <v>3730.28</v>
      </c>
      <c r="K1634" s="189">
        <f t="shared" si="163"/>
        <v>3730.28</v>
      </c>
      <c r="L1634" s="189"/>
      <c r="M1634" s="138"/>
      <c r="N1634" s="138"/>
      <c r="O1634" s="138"/>
      <c r="S1634" s="72"/>
      <c r="T1634" s="72"/>
      <c r="U1634" s="72"/>
      <c r="V1634" s="72"/>
    </row>
    <row r="1635" spans="1:22" s="63" customFormat="1" ht="22.5" x14ac:dyDescent="0.25">
      <c r="A1635" s="108">
        <v>9.5370000000000008</v>
      </c>
      <c r="B1635" s="102" t="s">
        <v>51</v>
      </c>
      <c r="C1635" s="103">
        <v>203.1</v>
      </c>
      <c r="D1635" s="167" t="s">
        <v>1353</v>
      </c>
      <c r="E1635" s="104" t="s">
        <v>3641</v>
      </c>
      <c r="F1635" s="102" t="s">
        <v>219</v>
      </c>
      <c r="G1635" s="105">
        <v>1</v>
      </c>
      <c r="H1635" s="106"/>
      <c r="I1635" s="107">
        <v>21212.97</v>
      </c>
      <c r="J1635" s="192">
        <f>ROUND($I1635/$G1635*$N$12,2)</f>
        <v>23726.71</v>
      </c>
      <c r="K1635" s="193">
        <f t="shared" si="163"/>
        <v>23726.71</v>
      </c>
      <c r="L1635" s="193"/>
      <c r="M1635" s="138"/>
      <c r="N1635" s="138"/>
      <c r="O1635" s="138"/>
      <c r="S1635" s="110"/>
      <c r="T1635" s="72"/>
      <c r="U1635" s="72"/>
      <c r="V1635" s="72"/>
    </row>
    <row r="1636" spans="1:22" s="63" customFormat="1" ht="22.5" x14ac:dyDescent="0.25">
      <c r="A1636" s="84">
        <v>9.5380000000000003</v>
      </c>
      <c r="B1636" s="81" t="s">
        <v>51</v>
      </c>
      <c r="C1636" s="82">
        <v>204</v>
      </c>
      <c r="D1636" s="131" t="s">
        <v>1354</v>
      </c>
      <c r="E1636" s="83" t="s">
        <v>1355</v>
      </c>
      <c r="F1636" s="81" t="s">
        <v>219</v>
      </c>
      <c r="G1636" s="82">
        <v>1</v>
      </c>
      <c r="H1636" s="85"/>
      <c r="I1636" s="86">
        <v>2681.95</v>
      </c>
      <c r="J1636" s="185">
        <f>ROUND($I1636/$G1636*$N$11,2)</f>
        <v>3053.67</v>
      </c>
      <c r="K1636" s="189">
        <f t="shared" si="163"/>
        <v>3053.67</v>
      </c>
      <c r="L1636" s="189"/>
      <c r="M1636" s="138"/>
      <c r="N1636" s="138"/>
      <c r="O1636" s="138"/>
      <c r="S1636" s="72"/>
      <c r="T1636" s="72"/>
      <c r="U1636" s="72"/>
      <c r="V1636" s="72"/>
    </row>
    <row r="1637" spans="1:22" s="63" customFormat="1" ht="22.5" x14ac:dyDescent="0.25">
      <c r="A1637" s="84">
        <v>9.5389999999999997</v>
      </c>
      <c r="B1637" s="81" t="s">
        <v>51</v>
      </c>
      <c r="C1637" s="80">
        <v>204.1</v>
      </c>
      <c r="D1637" s="131" t="s">
        <v>1326</v>
      </c>
      <c r="E1637" s="83" t="s">
        <v>1327</v>
      </c>
      <c r="F1637" s="81" t="s">
        <v>370</v>
      </c>
      <c r="G1637" s="87">
        <v>0.64</v>
      </c>
      <c r="H1637" s="85"/>
      <c r="I1637" s="86">
        <v>1465.56</v>
      </c>
      <c r="J1637" s="185">
        <f>ROUND($I1637/$G1637*$N$11,2)</f>
        <v>2607.3200000000002</v>
      </c>
      <c r="K1637" s="189">
        <f t="shared" si="163"/>
        <v>1668.68</v>
      </c>
      <c r="L1637" s="189"/>
      <c r="M1637" s="138"/>
      <c r="N1637" s="138"/>
      <c r="O1637" s="138"/>
      <c r="S1637" s="72"/>
      <c r="T1637" s="72"/>
      <c r="U1637" s="72"/>
      <c r="V1637" s="72"/>
    </row>
    <row r="1638" spans="1:22" s="63" customFormat="1" ht="15" x14ac:dyDescent="0.25">
      <c r="A1638" s="194">
        <v>10</v>
      </c>
      <c r="B1638" s="418" t="s">
        <v>1356</v>
      </c>
      <c r="C1638" s="418"/>
      <c r="D1638" s="418"/>
      <c r="E1638" s="195" t="s">
        <v>54</v>
      </c>
      <c r="F1638" s="196"/>
      <c r="G1638" s="194">
        <v>1</v>
      </c>
      <c r="H1638" s="197">
        <v>6788138.6399999997</v>
      </c>
      <c r="I1638" s="355">
        <f>SUM(I1641:I1726)</f>
        <v>6788138.6599999983</v>
      </c>
      <c r="J1638" s="200"/>
      <c r="K1638" s="198">
        <f>SUM(K1641:K1726)</f>
        <v>7714115.0999999996</v>
      </c>
      <c r="L1638" s="198"/>
      <c r="M1638" s="207"/>
      <c r="N1638" s="209"/>
      <c r="O1638" s="138"/>
      <c r="S1638" s="72"/>
      <c r="T1638" s="72"/>
      <c r="U1638" s="72"/>
      <c r="V1638" s="72"/>
    </row>
    <row r="1639" spans="1:22" s="97" customFormat="1" ht="15" x14ac:dyDescent="0.25">
      <c r="A1639" s="91"/>
      <c r="B1639" s="92"/>
      <c r="C1639" s="92"/>
      <c r="D1639" s="166"/>
      <c r="E1639" s="93" t="s">
        <v>1357</v>
      </c>
      <c r="F1639" s="94"/>
      <c r="G1639" s="91"/>
      <c r="H1639" s="95"/>
      <c r="I1639" s="96">
        <f>I1708+I1709+I1710+I1711+I1712+I1714+I1715+I1716+I1717+I1718+I1720+I1721+I1722+I1723+I1725+I1726</f>
        <v>740231.58000000019</v>
      </c>
      <c r="J1639" s="191"/>
      <c r="K1639" s="96">
        <f>K1708+K1709+K1710+K1711+K1712+K1714+K1715+K1716+K1717+K1718+K1720+K1721+K1722+K1723+K1725+K1726</f>
        <v>827949.04</v>
      </c>
      <c r="L1639" s="96"/>
      <c r="M1639" s="207"/>
      <c r="N1639" s="209"/>
      <c r="O1639" s="184"/>
      <c r="S1639" s="100"/>
      <c r="T1639" s="100"/>
      <c r="U1639" s="100"/>
      <c r="V1639" s="100"/>
    </row>
    <row r="1640" spans="1:22" s="97" customFormat="1" ht="15" x14ac:dyDescent="0.25">
      <c r="A1640" s="216"/>
      <c r="B1640" s="217"/>
      <c r="C1640" s="217"/>
      <c r="D1640" s="248"/>
      <c r="E1640" s="218" t="s">
        <v>3310</v>
      </c>
      <c r="F1640" s="219"/>
      <c r="G1640" s="216"/>
      <c r="H1640" s="220"/>
      <c r="I1640" s="221"/>
      <c r="J1640" s="244"/>
      <c r="K1640" s="221"/>
      <c r="L1640" s="221"/>
      <c r="M1640" s="207"/>
      <c r="N1640" s="209"/>
      <c r="O1640" s="184"/>
      <c r="S1640" s="100"/>
      <c r="T1640" s="100"/>
      <c r="U1640" s="100"/>
      <c r="V1640" s="100"/>
    </row>
    <row r="1641" spans="1:22" s="63" customFormat="1" ht="15" x14ac:dyDescent="0.25">
      <c r="A1641" s="80">
        <v>10.1</v>
      </c>
      <c r="B1641" s="81" t="s">
        <v>53</v>
      </c>
      <c r="C1641" s="82">
        <v>1</v>
      </c>
      <c r="D1641" s="131" t="s">
        <v>1358</v>
      </c>
      <c r="E1641" s="83" t="s">
        <v>1359</v>
      </c>
      <c r="F1641" s="81" t="s">
        <v>216</v>
      </c>
      <c r="G1641" s="87">
        <v>1.71</v>
      </c>
      <c r="H1641" s="85"/>
      <c r="I1641" s="86">
        <f>110526.72</f>
        <v>110526.72</v>
      </c>
      <c r="J1641" s="185">
        <f t="shared" ref="J1641:J1672" si="165">ROUND($I1641/$G1641*$N$11,2)</f>
        <v>73593.990000000005</v>
      </c>
      <c r="K1641" s="189">
        <f t="shared" ref="K1641:K1672" si="166">ROUND(G1641*J1641,2)</f>
        <v>125845.72</v>
      </c>
      <c r="L1641" s="189"/>
      <c r="M1641" s="138"/>
      <c r="N1641" s="138"/>
      <c r="O1641" s="138"/>
      <c r="S1641" s="72"/>
      <c r="T1641" s="72"/>
      <c r="U1641" s="72"/>
      <c r="V1641" s="72"/>
    </row>
    <row r="1642" spans="1:22" s="63" customFormat="1" ht="15" x14ac:dyDescent="0.25">
      <c r="A1642" s="80">
        <v>10.199999999999999</v>
      </c>
      <c r="B1642" s="81" t="s">
        <v>53</v>
      </c>
      <c r="C1642" s="80">
        <v>1.1000000000000001</v>
      </c>
      <c r="D1642" s="131" t="s">
        <v>1360</v>
      </c>
      <c r="E1642" s="83" t="s">
        <v>3652</v>
      </c>
      <c r="F1642" s="81" t="s">
        <v>219</v>
      </c>
      <c r="G1642" s="82">
        <v>171</v>
      </c>
      <c r="H1642" s="85"/>
      <c r="I1642" s="86">
        <v>36996.21</v>
      </c>
      <c r="J1642" s="185">
        <f t="shared" si="165"/>
        <v>246.34</v>
      </c>
      <c r="K1642" s="189">
        <f t="shared" si="166"/>
        <v>42124.14</v>
      </c>
      <c r="L1642" s="189"/>
      <c r="M1642" s="138"/>
      <c r="N1642" s="138"/>
      <c r="O1642" s="138"/>
      <c r="S1642" s="72"/>
      <c r="T1642" s="72"/>
      <c r="U1642" s="72"/>
      <c r="V1642" s="72"/>
    </row>
    <row r="1643" spans="1:22" s="63" customFormat="1" ht="15" x14ac:dyDescent="0.25">
      <c r="A1643" s="80">
        <v>10.3</v>
      </c>
      <c r="B1643" s="81" t="s">
        <v>53</v>
      </c>
      <c r="C1643" s="82">
        <v>2</v>
      </c>
      <c r="D1643" s="131" t="s">
        <v>1361</v>
      </c>
      <c r="E1643" s="83" t="s">
        <v>1362</v>
      </c>
      <c r="F1643" s="81" t="s">
        <v>216</v>
      </c>
      <c r="G1643" s="87">
        <v>0.13</v>
      </c>
      <c r="H1643" s="85"/>
      <c r="I1643" s="86">
        <v>7955.31</v>
      </c>
      <c r="J1643" s="185">
        <f t="shared" si="165"/>
        <v>69676.28</v>
      </c>
      <c r="K1643" s="189">
        <f t="shared" si="166"/>
        <v>9057.92</v>
      </c>
      <c r="L1643" s="189"/>
      <c r="M1643" s="138"/>
      <c r="N1643" s="138"/>
      <c r="O1643" s="138"/>
      <c r="S1643" s="72"/>
      <c r="T1643" s="72"/>
      <c r="U1643" s="72"/>
      <c r="V1643" s="72"/>
    </row>
    <row r="1644" spans="1:22" s="63" customFormat="1" ht="15" x14ac:dyDescent="0.25">
      <c r="A1644" s="80">
        <v>10.4</v>
      </c>
      <c r="B1644" s="81" t="s">
        <v>53</v>
      </c>
      <c r="C1644" s="80">
        <v>2.1</v>
      </c>
      <c r="D1644" s="131" t="s">
        <v>1363</v>
      </c>
      <c r="E1644" s="83" t="s">
        <v>3653</v>
      </c>
      <c r="F1644" s="81"/>
      <c r="G1644" s="82">
        <v>13</v>
      </c>
      <c r="H1644" s="85"/>
      <c r="I1644" s="86">
        <v>4828.7700000000004</v>
      </c>
      <c r="J1644" s="185">
        <f t="shared" si="165"/>
        <v>422.93</v>
      </c>
      <c r="K1644" s="189">
        <f t="shared" si="166"/>
        <v>5498.09</v>
      </c>
      <c r="L1644" s="189"/>
      <c r="M1644" s="138"/>
      <c r="N1644" s="138"/>
      <c r="O1644" s="138"/>
      <c r="S1644" s="72"/>
      <c r="T1644" s="72"/>
      <c r="U1644" s="72"/>
      <c r="V1644" s="72"/>
    </row>
    <row r="1645" spans="1:22" s="63" customFormat="1" ht="15" x14ac:dyDescent="0.25">
      <c r="A1645" s="80">
        <v>10.5</v>
      </c>
      <c r="B1645" s="81" t="s">
        <v>53</v>
      </c>
      <c r="C1645" s="82">
        <v>3</v>
      </c>
      <c r="D1645" s="131" t="s">
        <v>1364</v>
      </c>
      <c r="E1645" s="83" t="s">
        <v>1365</v>
      </c>
      <c r="F1645" s="81" t="s">
        <v>354</v>
      </c>
      <c r="G1645" s="80">
        <v>0.2</v>
      </c>
      <c r="H1645" s="85"/>
      <c r="I1645" s="86">
        <v>3369.78</v>
      </c>
      <c r="J1645" s="185">
        <f t="shared" si="165"/>
        <v>19184.16</v>
      </c>
      <c r="K1645" s="189">
        <f t="shared" si="166"/>
        <v>3836.83</v>
      </c>
      <c r="L1645" s="189"/>
      <c r="M1645" s="138"/>
      <c r="N1645" s="138"/>
      <c r="O1645" s="138"/>
      <c r="S1645" s="72"/>
      <c r="T1645" s="72"/>
      <c r="U1645" s="72"/>
      <c r="V1645" s="72"/>
    </row>
    <row r="1646" spans="1:22" s="63" customFormat="1" ht="22.5" x14ac:dyDescent="0.25">
      <c r="A1646" s="80">
        <v>10.6</v>
      </c>
      <c r="B1646" s="81" t="s">
        <v>53</v>
      </c>
      <c r="C1646" s="80">
        <v>3.1</v>
      </c>
      <c r="D1646" s="131" t="s">
        <v>1366</v>
      </c>
      <c r="E1646" s="83" t="s">
        <v>1367</v>
      </c>
      <c r="F1646" s="81" t="s">
        <v>772</v>
      </c>
      <c r="G1646" s="87">
        <v>2.04</v>
      </c>
      <c r="H1646" s="85"/>
      <c r="I1646" s="86">
        <v>1718.55</v>
      </c>
      <c r="J1646" s="185">
        <f t="shared" si="165"/>
        <v>959.19</v>
      </c>
      <c r="K1646" s="189">
        <f t="shared" si="166"/>
        <v>1956.75</v>
      </c>
      <c r="L1646" s="189"/>
      <c r="M1646" s="138"/>
      <c r="N1646" s="138"/>
      <c r="O1646" s="138"/>
      <c r="S1646" s="72"/>
      <c r="T1646" s="72"/>
      <c r="U1646" s="72"/>
      <c r="V1646" s="72"/>
    </row>
    <row r="1647" spans="1:22" s="63" customFormat="1" ht="22.5" x14ac:dyDescent="0.25">
      <c r="A1647" s="80">
        <v>10.7</v>
      </c>
      <c r="B1647" s="81" t="s">
        <v>53</v>
      </c>
      <c r="C1647" s="82">
        <v>4</v>
      </c>
      <c r="D1647" s="131" t="s">
        <v>1368</v>
      </c>
      <c r="E1647" s="83" t="s">
        <v>1369</v>
      </c>
      <c r="F1647" s="81" t="s">
        <v>226</v>
      </c>
      <c r="G1647" s="88">
        <v>0.21149999999999999</v>
      </c>
      <c r="H1647" s="85"/>
      <c r="I1647" s="86">
        <v>11044.16</v>
      </c>
      <c r="J1647" s="185">
        <f t="shared" si="165"/>
        <v>59455.7</v>
      </c>
      <c r="K1647" s="189">
        <f t="shared" si="166"/>
        <v>12574.88</v>
      </c>
      <c r="L1647" s="189"/>
      <c r="M1647" s="138"/>
      <c r="N1647" s="138"/>
      <c r="O1647" s="138"/>
      <c r="S1647" s="72"/>
      <c r="T1647" s="72"/>
      <c r="U1647" s="72"/>
      <c r="V1647" s="72"/>
    </row>
    <row r="1648" spans="1:22" s="63" customFormat="1" ht="22.5" x14ac:dyDescent="0.25">
      <c r="A1648" s="80">
        <v>10.8</v>
      </c>
      <c r="B1648" s="81" t="s">
        <v>53</v>
      </c>
      <c r="C1648" s="80">
        <v>4.0999999999999996</v>
      </c>
      <c r="D1648" s="131" t="s">
        <v>1370</v>
      </c>
      <c r="E1648" s="83" t="s">
        <v>1371</v>
      </c>
      <c r="F1648" s="81" t="s">
        <v>219</v>
      </c>
      <c r="G1648" s="82">
        <v>61</v>
      </c>
      <c r="H1648" s="85"/>
      <c r="I1648" s="86">
        <v>42505.63</v>
      </c>
      <c r="J1648" s="185">
        <f t="shared" si="165"/>
        <v>793.39</v>
      </c>
      <c r="K1648" s="189">
        <f t="shared" si="166"/>
        <v>48396.79</v>
      </c>
      <c r="L1648" s="189"/>
      <c r="M1648" s="138"/>
      <c r="N1648" s="138"/>
      <c r="O1648" s="138"/>
      <c r="S1648" s="72"/>
      <c r="T1648" s="72"/>
      <c r="U1648" s="72"/>
      <c r="V1648" s="72"/>
    </row>
    <row r="1649" spans="1:22" s="63" customFormat="1" ht="15" x14ac:dyDescent="0.25">
      <c r="A1649" s="80">
        <v>10.9</v>
      </c>
      <c r="B1649" s="81" t="s">
        <v>53</v>
      </c>
      <c r="C1649" s="82">
        <v>5</v>
      </c>
      <c r="D1649" s="131" t="s">
        <v>1372</v>
      </c>
      <c r="E1649" s="83" t="s">
        <v>1373</v>
      </c>
      <c r="F1649" s="81" t="s">
        <v>216</v>
      </c>
      <c r="G1649" s="87">
        <v>0.62</v>
      </c>
      <c r="H1649" s="85"/>
      <c r="I1649" s="86">
        <v>16621.79</v>
      </c>
      <c r="J1649" s="185">
        <f t="shared" si="165"/>
        <v>30525.11</v>
      </c>
      <c r="K1649" s="189">
        <f t="shared" si="166"/>
        <v>18925.57</v>
      </c>
      <c r="L1649" s="189"/>
      <c r="M1649" s="138"/>
      <c r="N1649" s="138"/>
      <c r="O1649" s="138"/>
      <c r="S1649" s="72"/>
      <c r="T1649" s="72"/>
      <c r="U1649" s="72"/>
      <c r="V1649" s="72"/>
    </row>
    <row r="1650" spans="1:22" s="63" customFormat="1" ht="22.5" x14ac:dyDescent="0.25">
      <c r="A1650" s="87">
        <v>10.1</v>
      </c>
      <c r="B1650" s="81" t="s">
        <v>53</v>
      </c>
      <c r="C1650" s="80">
        <v>5.0999999999999996</v>
      </c>
      <c r="D1650" s="131" t="s">
        <v>1374</v>
      </c>
      <c r="E1650" s="83" t="s">
        <v>1375</v>
      </c>
      <c r="F1650" s="81" t="s">
        <v>566</v>
      </c>
      <c r="G1650" s="80">
        <v>2.2000000000000002</v>
      </c>
      <c r="H1650" s="85"/>
      <c r="I1650" s="86">
        <v>996.34</v>
      </c>
      <c r="J1650" s="185">
        <f t="shared" si="165"/>
        <v>515.65</v>
      </c>
      <c r="K1650" s="189">
        <f t="shared" si="166"/>
        <v>1134.43</v>
      </c>
      <c r="L1650" s="189"/>
      <c r="M1650" s="138"/>
      <c r="N1650" s="138"/>
      <c r="O1650" s="138"/>
      <c r="S1650" s="72"/>
      <c r="T1650" s="72"/>
      <c r="U1650" s="72"/>
      <c r="V1650" s="72"/>
    </row>
    <row r="1651" spans="1:22" s="63" customFormat="1" ht="22.5" x14ac:dyDescent="0.25">
      <c r="A1651" s="87">
        <v>10.11</v>
      </c>
      <c r="B1651" s="81" t="s">
        <v>53</v>
      </c>
      <c r="C1651" s="80">
        <v>5.2</v>
      </c>
      <c r="D1651" s="131" t="s">
        <v>1376</v>
      </c>
      <c r="E1651" s="83" t="s">
        <v>3654</v>
      </c>
      <c r="F1651" s="81" t="s">
        <v>219</v>
      </c>
      <c r="G1651" s="82">
        <v>22</v>
      </c>
      <c r="H1651" s="85"/>
      <c r="I1651" s="86">
        <v>2495.37</v>
      </c>
      <c r="J1651" s="185">
        <f t="shared" si="165"/>
        <v>129.15</v>
      </c>
      <c r="K1651" s="189">
        <f t="shared" si="166"/>
        <v>2841.3</v>
      </c>
      <c r="L1651" s="189"/>
      <c r="M1651" s="138"/>
      <c r="N1651" s="138"/>
      <c r="O1651" s="138"/>
      <c r="S1651" s="72"/>
      <c r="T1651" s="72"/>
      <c r="U1651" s="72"/>
      <c r="V1651" s="72"/>
    </row>
    <row r="1652" spans="1:22" s="63" customFormat="1" ht="22.5" x14ac:dyDescent="0.25">
      <c r="A1652" s="87">
        <v>10.119999999999999</v>
      </c>
      <c r="B1652" s="81" t="s">
        <v>53</v>
      </c>
      <c r="C1652" s="80">
        <v>5.3</v>
      </c>
      <c r="D1652" s="131" t="s">
        <v>1374</v>
      </c>
      <c r="E1652" s="83" t="s">
        <v>1375</v>
      </c>
      <c r="F1652" s="81" t="s">
        <v>566</v>
      </c>
      <c r="G1652" s="80">
        <v>1.8</v>
      </c>
      <c r="H1652" s="85"/>
      <c r="I1652" s="86">
        <v>815.18</v>
      </c>
      <c r="J1652" s="185">
        <f t="shared" si="165"/>
        <v>515.65</v>
      </c>
      <c r="K1652" s="189">
        <f t="shared" si="166"/>
        <v>928.17</v>
      </c>
      <c r="L1652" s="189"/>
      <c r="M1652" s="138"/>
      <c r="N1652" s="138"/>
      <c r="O1652" s="138"/>
      <c r="S1652" s="72"/>
      <c r="T1652" s="72"/>
      <c r="U1652" s="72"/>
      <c r="V1652" s="72"/>
    </row>
    <row r="1653" spans="1:22" s="63" customFormat="1" ht="15" x14ac:dyDescent="0.25">
      <c r="A1653" s="87">
        <v>10.130000000000001</v>
      </c>
      <c r="B1653" s="81" t="s">
        <v>53</v>
      </c>
      <c r="C1653" s="82">
        <v>6</v>
      </c>
      <c r="D1653" s="131" t="s">
        <v>1377</v>
      </c>
      <c r="E1653" s="83" t="s">
        <v>1378</v>
      </c>
      <c r="F1653" s="81" t="s">
        <v>216</v>
      </c>
      <c r="G1653" s="87">
        <v>0.89</v>
      </c>
      <c r="H1653" s="85"/>
      <c r="I1653" s="86">
        <v>24297.57</v>
      </c>
      <c r="J1653" s="185">
        <f t="shared" si="165"/>
        <v>31084.51</v>
      </c>
      <c r="K1653" s="189">
        <f t="shared" si="166"/>
        <v>27665.21</v>
      </c>
      <c r="L1653" s="189"/>
      <c r="M1653" s="138"/>
      <c r="N1653" s="138"/>
      <c r="O1653" s="138"/>
      <c r="S1653" s="72"/>
      <c r="T1653" s="72"/>
      <c r="U1653" s="72"/>
      <c r="V1653" s="72"/>
    </row>
    <row r="1654" spans="1:22" s="63" customFormat="1" ht="15" x14ac:dyDescent="0.25">
      <c r="A1654" s="87">
        <v>10.14</v>
      </c>
      <c r="B1654" s="81" t="s">
        <v>53</v>
      </c>
      <c r="C1654" s="80">
        <v>6.1</v>
      </c>
      <c r="D1654" s="131" t="s">
        <v>1379</v>
      </c>
      <c r="E1654" s="83" t="s">
        <v>3655</v>
      </c>
      <c r="F1654" s="81" t="s">
        <v>219</v>
      </c>
      <c r="G1654" s="82">
        <v>89</v>
      </c>
      <c r="H1654" s="85"/>
      <c r="I1654" s="86">
        <v>11527.57</v>
      </c>
      <c r="J1654" s="185">
        <f t="shared" si="165"/>
        <v>147.47999999999999</v>
      </c>
      <c r="K1654" s="189">
        <f t="shared" si="166"/>
        <v>13125.72</v>
      </c>
      <c r="L1654" s="189"/>
      <c r="M1654" s="138"/>
      <c r="N1654" s="138"/>
      <c r="O1654" s="138"/>
      <c r="S1654" s="72"/>
      <c r="T1654" s="72"/>
      <c r="U1654" s="72"/>
      <c r="V1654" s="72"/>
    </row>
    <row r="1655" spans="1:22" s="63" customFormat="1" ht="22.5" x14ac:dyDescent="0.25">
      <c r="A1655" s="87">
        <v>10.15</v>
      </c>
      <c r="B1655" s="81" t="s">
        <v>53</v>
      </c>
      <c r="C1655" s="82">
        <v>7</v>
      </c>
      <c r="D1655" s="131" t="s">
        <v>1380</v>
      </c>
      <c r="E1655" s="83" t="s">
        <v>1381</v>
      </c>
      <c r="F1655" s="81" t="s">
        <v>216</v>
      </c>
      <c r="G1655" s="87">
        <v>0.59</v>
      </c>
      <c r="H1655" s="85"/>
      <c r="I1655" s="86">
        <v>43686</v>
      </c>
      <c r="J1655" s="185">
        <f t="shared" si="165"/>
        <v>84306.58</v>
      </c>
      <c r="K1655" s="189">
        <f t="shared" si="166"/>
        <v>49740.88</v>
      </c>
      <c r="L1655" s="189"/>
      <c r="M1655" s="138"/>
      <c r="N1655" s="138"/>
      <c r="O1655" s="138"/>
      <c r="S1655" s="72"/>
      <c r="T1655" s="72"/>
      <c r="U1655" s="72"/>
      <c r="V1655" s="72"/>
    </row>
    <row r="1656" spans="1:22" s="63" customFormat="1" ht="15" x14ac:dyDescent="0.25">
      <c r="A1656" s="87">
        <v>10.16</v>
      </c>
      <c r="B1656" s="81" t="s">
        <v>53</v>
      </c>
      <c r="C1656" s="80">
        <v>7.1</v>
      </c>
      <c r="D1656" s="131" t="s">
        <v>1382</v>
      </c>
      <c r="E1656" s="83" t="s">
        <v>3656</v>
      </c>
      <c r="F1656" s="81" t="s">
        <v>219</v>
      </c>
      <c r="G1656" s="82">
        <v>59</v>
      </c>
      <c r="H1656" s="85"/>
      <c r="I1656" s="86">
        <v>122377.86</v>
      </c>
      <c r="J1656" s="185">
        <f t="shared" si="165"/>
        <v>2361.69</v>
      </c>
      <c r="K1656" s="189">
        <f t="shared" si="166"/>
        <v>139339.71</v>
      </c>
      <c r="L1656" s="189"/>
      <c r="M1656" s="138"/>
      <c r="N1656" s="138"/>
      <c r="O1656" s="138"/>
      <c r="S1656" s="72"/>
      <c r="T1656" s="72"/>
      <c r="U1656" s="72"/>
      <c r="V1656" s="72"/>
    </row>
    <row r="1657" spans="1:22" s="63" customFormat="1" ht="22.5" x14ac:dyDescent="0.25">
      <c r="A1657" s="87">
        <v>10.17</v>
      </c>
      <c r="B1657" s="81" t="s">
        <v>53</v>
      </c>
      <c r="C1657" s="82">
        <v>8</v>
      </c>
      <c r="D1657" s="131" t="s">
        <v>1383</v>
      </c>
      <c r="E1657" s="83" t="s">
        <v>1384</v>
      </c>
      <c r="F1657" s="81" t="s">
        <v>216</v>
      </c>
      <c r="G1657" s="87">
        <v>3.21</v>
      </c>
      <c r="H1657" s="85"/>
      <c r="I1657" s="86">
        <v>633089.86</v>
      </c>
      <c r="J1657" s="185">
        <f t="shared" si="165"/>
        <v>224559.54</v>
      </c>
      <c r="K1657" s="189">
        <f t="shared" si="166"/>
        <v>720836.12</v>
      </c>
      <c r="L1657" s="189"/>
      <c r="M1657" s="138"/>
      <c r="N1657" s="138"/>
      <c r="O1657" s="138"/>
      <c r="S1657" s="72"/>
      <c r="T1657" s="72"/>
      <c r="U1657" s="72"/>
      <c r="V1657" s="72"/>
    </row>
    <row r="1658" spans="1:22" s="63" customFormat="1" ht="22.5" x14ac:dyDescent="0.25">
      <c r="A1658" s="87">
        <v>10.18</v>
      </c>
      <c r="B1658" s="81" t="s">
        <v>53</v>
      </c>
      <c r="C1658" s="80">
        <v>8.1</v>
      </c>
      <c r="D1658" s="131" t="s">
        <v>1385</v>
      </c>
      <c r="E1658" s="83" t="s">
        <v>3657</v>
      </c>
      <c r="F1658" s="81" t="s">
        <v>219</v>
      </c>
      <c r="G1658" s="82">
        <v>258</v>
      </c>
      <c r="H1658" s="85"/>
      <c r="I1658" s="86">
        <v>1837585.73</v>
      </c>
      <c r="J1658" s="185">
        <f t="shared" si="165"/>
        <v>8109.59</v>
      </c>
      <c r="K1658" s="189">
        <f t="shared" si="166"/>
        <v>2092274.22</v>
      </c>
      <c r="L1658" s="189"/>
      <c r="M1658" s="138"/>
      <c r="N1658" s="138"/>
      <c r="O1658" s="138"/>
      <c r="S1658" s="72"/>
      <c r="T1658" s="72"/>
      <c r="U1658" s="72"/>
      <c r="V1658" s="72"/>
    </row>
    <row r="1659" spans="1:22" s="63" customFormat="1" ht="15" x14ac:dyDescent="0.25">
      <c r="A1659" s="87">
        <v>10.19</v>
      </c>
      <c r="B1659" s="81" t="s">
        <v>53</v>
      </c>
      <c r="C1659" s="80">
        <v>8.1999999999999993</v>
      </c>
      <c r="D1659" s="131" t="s">
        <v>1386</v>
      </c>
      <c r="E1659" s="83" t="s">
        <v>3658</v>
      </c>
      <c r="F1659" s="81" t="s">
        <v>219</v>
      </c>
      <c r="G1659" s="82">
        <v>4</v>
      </c>
      <c r="H1659" s="85"/>
      <c r="I1659" s="86">
        <v>11858</v>
      </c>
      <c r="J1659" s="185">
        <f t="shared" si="165"/>
        <v>3375.38</v>
      </c>
      <c r="K1659" s="189">
        <f t="shared" si="166"/>
        <v>13501.52</v>
      </c>
      <c r="L1659" s="189"/>
      <c r="M1659" s="138"/>
      <c r="N1659" s="138"/>
      <c r="O1659" s="138"/>
      <c r="S1659" s="72"/>
      <c r="T1659" s="72"/>
      <c r="U1659" s="72"/>
      <c r="V1659" s="72"/>
    </row>
    <row r="1660" spans="1:22" s="63" customFormat="1" ht="22.5" x14ac:dyDescent="0.25">
      <c r="A1660" s="87">
        <v>10.199999999999999</v>
      </c>
      <c r="B1660" s="81" t="s">
        <v>53</v>
      </c>
      <c r="C1660" s="80">
        <v>8.3000000000000007</v>
      </c>
      <c r="D1660" s="131" t="s">
        <v>1387</v>
      </c>
      <c r="E1660" s="83" t="s">
        <v>3659</v>
      </c>
      <c r="F1660" s="81" t="s">
        <v>219</v>
      </c>
      <c r="G1660" s="82">
        <v>59</v>
      </c>
      <c r="H1660" s="85"/>
      <c r="I1660" s="86">
        <v>412675.89</v>
      </c>
      <c r="J1660" s="185">
        <f t="shared" si="165"/>
        <v>7963.95</v>
      </c>
      <c r="K1660" s="189">
        <f t="shared" si="166"/>
        <v>469873.05</v>
      </c>
      <c r="L1660" s="189"/>
      <c r="M1660" s="138"/>
      <c r="N1660" s="138"/>
      <c r="O1660" s="138"/>
      <c r="S1660" s="72"/>
      <c r="T1660" s="72"/>
      <c r="U1660" s="72"/>
      <c r="V1660" s="72"/>
    </row>
    <row r="1661" spans="1:22" s="63" customFormat="1" ht="22.5" x14ac:dyDescent="0.25">
      <c r="A1661" s="87">
        <v>10.210000000000001</v>
      </c>
      <c r="B1661" s="81" t="s">
        <v>53</v>
      </c>
      <c r="C1661" s="82">
        <v>9</v>
      </c>
      <c r="D1661" s="131" t="s">
        <v>1388</v>
      </c>
      <c r="E1661" s="83" t="s">
        <v>1389</v>
      </c>
      <c r="F1661" s="81" t="s">
        <v>216</v>
      </c>
      <c r="G1661" s="80">
        <v>0.8</v>
      </c>
      <c r="H1661" s="85"/>
      <c r="I1661" s="86">
        <v>77606.960000000006</v>
      </c>
      <c r="J1661" s="185">
        <f t="shared" si="165"/>
        <v>110454.11</v>
      </c>
      <c r="K1661" s="189">
        <f t="shared" si="166"/>
        <v>88363.29</v>
      </c>
      <c r="L1661" s="189"/>
      <c r="M1661" s="138"/>
      <c r="N1661" s="138"/>
      <c r="O1661" s="138"/>
      <c r="S1661" s="72"/>
      <c r="T1661" s="72"/>
      <c r="U1661" s="72"/>
      <c r="V1661" s="72"/>
    </row>
    <row r="1662" spans="1:22" s="63" customFormat="1" ht="22.5" x14ac:dyDescent="0.25">
      <c r="A1662" s="87">
        <v>10.220000000000001</v>
      </c>
      <c r="B1662" s="81" t="s">
        <v>53</v>
      </c>
      <c r="C1662" s="80">
        <v>9.1</v>
      </c>
      <c r="D1662" s="131" t="s">
        <v>1390</v>
      </c>
      <c r="E1662" s="83" t="s">
        <v>3660</v>
      </c>
      <c r="F1662" s="81" t="s">
        <v>219</v>
      </c>
      <c r="G1662" s="82">
        <v>83</v>
      </c>
      <c r="H1662" s="85"/>
      <c r="I1662" s="86">
        <v>179465.16</v>
      </c>
      <c r="J1662" s="185">
        <f t="shared" si="165"/>
        <v>2461.92</v>
      </c>
      <c r="K1662" s="189">
        <f t="shared" si="166"/>
        <v>204339.36</v>
      </c>
      <c r="L1662" s="189"/>
      <c r="M1662" s="138"/>
      <c r="N1662" s="138"/>
      <c r="O1662" s="138"/>
      <c r="S1662" s="72"/>
      <c r="T1662" s="72"/>
      <c r="U1662" s="72"/>
      <c r="V1662" s="72"/>
    </row>
    <row r="1663" spans="1:22" s="63" customFormat="1" ht="22.5" x14ac:dyDescent="0.25">
      <c r="A1663" s="87">
        <v>10.23</v>
      </c>
      <c r="B1663" s="81" t="s">
        <v>53</v>
      </c>
      <c r="C1663" s="82">
        <v>10</v>
      </c>
      <c r="D1663" s="131" t="s">
        <v>1391</v>
      </c>
      <c r="E1663" s="83" t="s">
        <v>1392</v>
      </c>
      <c r="F1663" s="81" t="s">
        <v>216</v>
      </c>
      <c r="G1663" s="80">
        <v>1.5</v>
      </c>
      <c r="H1663" s="85"/>
      <c r="I1663" s="86">
        <v>42194.55</v>
      </c>
      <c r="J1663" s="185">
        <f t="shared" si="165"/>
        <v>32028.48</v>
      </c>
      <c r="K1663" s="189">
        <f t="shared" si="166"/>
        <v>48042.720000000001</v>
      </c>
      <c r="L1663" s="189"/>
      <c r="M1663" s="138"/>
      <c r="N1663" s="138"/>
      <c r="O1663" s="138"/>
      <c r="S1663" s="72"/>
      <c r="T1663" s="72"/>
      <c r="U1663" s="72"/>
      <c r="V1663" s="72"/>
    </row>
    <row r="1664" spans="1:22" s="63" customFormat="1" ht="22.5" x14ac:dyDescent="0.25">
      <c r="A1664" s="87">
        <v>10.24</v>
      </c>
      <c r="B1664" s="81" t="s">
        <v>53</v>
      </c>
      <c r="C1664" s="80">
        <v>10.1</v>
      </c>
      <c r="D1664" s="131" t="s">
        <v>1393</v>
      </c>
      <c r="E1664" s="83" t="s">
        <v>1394</v>
      </c>
      <c r="F1664" s="81" t="s">
        <v>216</v>
      </c>
      <c r="G1664" s="80">
        <v>1.5</v>
      </c>
      <c r="H1664" s="85"/>
      <c r="I1664" s="86">
        <v>1318.68</v>
      </c>
      <c r="J1664" s="185">
        <f t="shared" si="165"/>
        <v>1000.97</v>
      </c>
      <c r="K1664" s="189">
        <f t="shared" si="166"/>
        <v>1501.46</v>
      </c>
      <c r="L1664" s="189"/>
      <c r="M1664" s="138"/>
      <c r="N1664" s="138"/>
      <c r="O1664" s="138"/>
      <c r="S1664" s="72"/>
      <c r="T1664" s="72"/>
      <c r="U1664" s="72"/>
      <c r="V1664" s="72"/>
    </row>
    <row r="1665" spans="1:22" s="63" customFormat="1" ht="22.5" x14ac:dyDescent="0.25">
      <c r="A1665" s="87">
        <v>10.25</v>
      </c>
      <c r="B1665" s="81" t="s">
        <v>53</v>
      </c>
      <c r="C1665" s="80">
        <v>10.199999999999999</v>
      </c>
      <c r="D1665" s="131" t="s">
        <v>1395</v>
      </c>
      <c r="E1665" s="83" t="s">
        <v>1396</v>
      </c>
      <c r="F1665" s="81" t="s">
        <v>1397</v>
      </c>
      <c r="G1665" s="87">
        <v>0.15</v>
      </c>
      <c r="H1665" s="85"/>
      <c r="I1665" s="86">
        <v>2636.83</v>
      </c>
      <c r="J1665" s="185">
        <f t="shared" si="165"/>
        <v>20015.3</v>
      </c>
      <c r="K1665" s="189">
        <f t="shared" si="166"/>
        <v>3002.3</v>
      </c>
      <c r="L1665" s="189"/>
      <c r="M1665" s="138"/>
      <c r="N1665" s="138"/>
      <c r="O1665" s="138"/>
      <c r="S1665" s="72"/>
      <c r="T1665" s="72"/>
      <c r="U1665" s="72"/>
      <c r="V1665" s="72"/>
    </row>
    <row r="1666" spans="1:22" s="63" customFormat="1" ht="22.5" x14ac:dyDescent="0.25">
      <c r="A1666" s="87">
        <v>10.26</v>
      </c>
      <c r="B1666" s="81" t="s">
        <v>53</v>
      </c>
      <c r="C1666" s="82">
        <v>11</v>
      </c>
      <c r="D1666" s="131" t="s">
        <v>1398</v>
      </c>
      <c r="E1666" s="83" t="s">
        <v>1399</v>
      </c>
      <c r="F1666" s="81" t="s">
        <v>354</v>
      </c>
      <c r="G1666" s="82">
        <v>1</v>
      </c>
      <c r="H1666" s="85"/>
      <c r="I1666" s="86">
        <v>37482.61</v>
      </c>
      <c r="J1666" s="185">
        <f t="shared" si="165"/>
        <v>42677.7</v>
      </c>
      <c r="K1666" s="189">
        <f t="shared" si="166"/>
        <v>42677.7</v>
      </c>
      <c r="L1666" s="189"/>
      <c r="M1666" s="138"/>
      <c r="N1666" s="138"/>
      <c r="O1666" s="138"/>
      <c r="S1666" s="72"/>
      <c r="T1666" s="72"/>
      <c r="U1666" s="72"/>
      <c r="V1666" s="72"/>
    </row>
    <row r="1667" spans="1:22" s="63" customFormat="1" ht="33.75" x14ac:dyDescent="0.25">
      <c r="A1667" s="87">
        <v>10.27</v>
      </c>
      <c r="B1667" s="81" t="s">
        <v>53</v>
      </c>
      <c r="C1667" s="80">
        <v>11.1</v>
      </c>
      <c r="D1667" s="131" t="s">
        <v>1400</v>
      </c>
      <c r="E1667" s="83" t="s">
        <v>1401</v>
      </c>
      <c r="F1667" s="81" t="s">
        <v>334</v>
      </c>
      <c r="G1667" s="82">
        <v>102</v>
      </c>
      <c r="H1667" s="85"/>
      <c r="I1667" s="86">
        <v>27299.61</v>
      </c>
      <c r="J1667" s="185">
        <f t="shared" si="165"/>
        <v>304.74</v>
      </c>
      <c r="K1667" s="189">
        <f t="shared" si="166"/>
        <v>31083.48</v>
      </c>
      <c r="L1667" s="189"/>
      <c r="M1667" s="138"/>
      <c r="N1667" s="138"/>
      <c r="O1667" s="138"/>
      <c r="S1667" s="72"/>
      <c r="T1667" s="72"/>
      <c r="U1667" s="72"/>
      <c r="V1667" s="72"/>
    </row>
    <row r="1668" spans="1:22" s="63" customFormat="1" ht="22.5" x14ac:dyDescent="0.25">
      <c r="A1668" s="87">
        <v>10.28</v>
      </c>
      <c r="B1668" s="81" t="s">
        <v>53</v>
      </c>
      <c r="C1668" s="82">
        <v>12</v>
      </c>
      <c r="D1668" s="131" t="s">
        <v>1402</v>
      </c>
      <c r="E1668" s="83" t="s">
        <v>1403</v>
      </c>
      <c r="F1668" s="81" t="s">
        <v>354</v>
      </c>
      <c r="G1668" s="87">
        <v>25.24</v>
      </c>
      <c r="H1668" s="85"/>
      <c r="I1668" s="86">
        <v>516117.74</v>
      </c>
      <c r="J1668" s="185">
        <f t="shared" si="165"/>
        <v>23282.55</v>
      </c>
      <c r="K1668" s="189">
        <f t="shared" si="166"/>
        <v>587651.56000000006</v>
      </c>
      <c r="L1668" s="189"/>
      <c r="M1668" s="138"/>
      <c r="N1668" s="138"/>
      <c r="O1668" s="138"/>
      <c r="S1668" s="72"/>
      <c r="T1668" s="72"/>
      <c r="U1668" s="72"/>
      <c r="V1668" s="72"/>
    </row>
    <row r="1669" spans="1:22" s="63" customFormat="1" ht="15" x14ac:dyDescent="0.25">
      <c r="A1669" s="87">
        <v>10.29</v>
      </c>
      <c r="B1669" s="81" t="s">
        <v>53</v>
      </c>
      <c r="C1669" s="82">
        <v>13</v>
      </c>
      <c r="D1669" s="131" t="s">
        <v>1364</v>
      </c>
      <c r="E1669" s="83" t="s">
        <v>1365</v>
      </c>
      <c r="F1669" s="81" t="s">
        <v>354</v>
      </c>
      <c r="G1669" s="80">
        <v>1.5</v>
      </c>
      <c r="H1669" s="85"/>
      <c r="I1669" s="86">
        <v>25271.35</v>
      </c>
      <c r="J1669" s="185">
        <f t="shared" si="165"/>
        <v>19182.64</v>
      </c>
      <c r="K1669" s="189">
        <f t="shared" si="166"/>
        <v>28773.96</v>
      </c>
      <c r="L1669" s="189"/>
      <c r="M1669" s="138"/>
      <c r="N1669" s="138"/>
      <c r="O1669" s="138"/>
      <c r="S1669" s="72"/>
      <c r="T1669" s="72"/>
      <c r="U1669" s="72"/>
      <c r="V1669" s="72"/>
    </row>
    <row r="1670" spans="1:22" s="63" customFormat="1" ht="22.5" x14ac:dyDescent="0.25">
      <c r="A1670" s="87">
        <v>10.3</v>
      </c>
      <c r="B1670" s="81" t="s">
        <v>53</v>
      </c>
      <c r="C1670" s="80">
        <v>13.1</v>
      </c>
      <c r="D1670" s="131" t="s">
        <v>1404</v>
      </c>
      <c r="E1670" s="83" t="s">
        <v>1405</v>
      </c>
      <c r="F1670" s="81" t="s">
        <v>772</v>
      </c>
      <c r="G1670" s="82">
        <v>10</v>
      </c>
      <c r="H1670" s="85"/>
      <c r="I1670" s="86">
        <v>5851.92</v>
      </c>
      <c r="J1670" s="185">
        <f t="shared" si="165"/>
        <v>666.3</v>
      </c>
      <c r="K1670" s="189">
        <f t="shared" si="166"/>
        <v>6663</v>
      </c>
      <c r="L1670" s="189"/>
      <c r="M1670" s="138"/>
      <c r="N1670" s="138"/>
      <c r="O1670" s="138"/>
      <c r="S1670" s="72"/>
      <c r="T1670" s="72"/>
      <c r="U1670" s="72"/>
      <c r="V1670" s="72"/>
    </row>
    <row r="1671" spans="1:22" s="63" customFormat="1" ht="22.5" x14ac:dyDescent="0.25">
      <c r="A1671" s="87">
        <v>10.31</v>
      </c>
      <c r="B1671" s="81" t="s">
        <v>53</v>
      </c>
      <c r="C1671" s="80">
        <v>13.2</v>
      </c>
      <c r="D1671" s="131" t="s">
        <v>1406</v>
      </c>
      <c r="E1671" s="83" t="s">
        <v>1407</v>
      </c>
      <c r="F1671" s="81" t="s">
        <v>772</v>
      </c>
      <c r="G1671" s="82">
        <v>5</v>
      </c>
      <c r="H1671" s="85"/>
      <c r="I1671" s="86">
        <v>8236.2000000000007</v>
      </c>
      <c r="J1671" s="185">
        <f t="shared" si="165"/>
        <v>1875.55</v>
      </c>
      <c r="K1671" s="189">
        <f t="shared" si="166"/>
        <v>9377.75</v>
      </c>
      <c r="L1671" s="189"/>
      <c r="M1671" s="138"/>
      <c r="N1671" s="138"/>
      <c r="O1671" s="138"/>
      <c r="S1671" s="72"/>
      <c r="T1671" s="72"/>
      <c r="U1671" s="72"/>
      <c r="V1671" s="72"/>
    </row>
    <row r="1672" spans="1:22" s="63" customFormat="1" ht="33.75" x14ac:dyDescent="0.25">
      <c r="A1672" s="87">
        <v>10.32</v>
      </c>
      <c r="B1672" s="81" t="s">
        <v>53</v>
      </c>
      <c r="C1672" s="80">
        <v>13.3</v>
      </c>
      <c r="D1672" s="131" t="s">
        <v>1408</v>
      </c>
      <c r="E1672" s="83" t="s">
        <v>3661</v>
      </c>
      <c r="F1672" s="81" t="s">
        <v>334</v>
      </c>
      <c r="G1672" s="82">
        <v>204</v>
      </c>
      <c r="H1672" s="85"/>
      <c r="I1672" s="86">
        <v>16176.16</v>
      </c>
      <c r="J1672" s="185">
        <f t="shared" si="165"/>
        <v>90.29</v>
      </c>
      <c r="K1672" s="189">
        <f t="shared" si="166"/>
        <v>18419.16</v>
      </c>
      <c r="L1672" s="189"/>
      <c r="M1672" s="138"/>
      <c r="N1672" s="138"/>
      <c r="O1672" s="138"/>
      <c r="S1672" s="72"/>
      <c r="T1672" s="72"/>
      <c r="U1672" s="72"/>
      <c r="V1672" s="72"/>
    </row>
    <row r="1673" spans="1:22" s="63" customFormat="1" ht="33.75" x14ac:dyDescent="0.25">
      <c r="A1673" s="87">
        <v>10.33</v>
      </c>
      <c r="B1673" s="81" t="s">
        <v>53</v>
      </c>
      <c r="C1673" s="80">
        <v>13.4</v>
      </c>
      <c r="D1673" s="131" t="s">
        <v>1409</v>
      </c>
      <c r="E1673" s="83" t="s">
        <v>3662</v>
      </c>
      <c r="F1673" s="81" t="s">
        <v>334</v>
      </c>
      <c r="G1673" s="80">
        <v>275.39999999999998</v>
      </c>
      <c r="H1673" s="85"/>
      <c r="I1673" s="86">
        <v>35335.379999999997</v>
      </c>
      <c r="J1673" s="185">
        <f t="shared" ref="J1673:J1705" si="167">ROUND($I1673/$G1673*$N$11,2)</f>
        <v>146.09</v>
      </c>
      <c r="K1673" s="189">
        <f t="shared" ref="K1673:K1704" si="168">ROUND(G1673*J1673,2)</f>
        <v>40233.19</v>
      </c>
      <c r="L1673" s="189"/>
      <c r="M1673" s="138"/>
      <c r="N1673" s="138"/>
      <c r="O1673" s="138"/>
      <c r="S1673" s="72"/>
      <c r="T1673" s="72"/>
      <c r="U1673" s="72"/>
      <c r="V1673" s="72"/>
    </row>
    <row r="1674" spans="1:22" s="63" customFormat="1" ht="33.75" x14ac:dyDescent="0.25">
      <c r="A1674" s="87">
        <v>10.34</v>
      </c>
      <c r="B1674" s="81" t="s">
        <v>53</v>
      </c>
      <c r="C1674" s="82">
        <v>15</v>
      </c>
      <c r="D1674" s="131" t="s">
        <v>1410</v>
      </c>
      <c r="E1674" s="83" t="s">
        <v>1411</v>
      </c>
      <c r="F1674" s="81" t="s">
        <v>354</v>
      </c>
      <c r="G1674" s="84">
        <v>0.28799999999999998</v>
      </c>
      <c r="H1674" s="85"/>
      <c r="I1674" s="86">
        <v>1863.56</v>
      </c>
      <c r="J1674" s="185">
        <f t="shared" si="167"/>
        <v>7367.53</v>
      </c>
      <c r="K1674" s="189">
        <f t="shared" si="168"/>
        <v>2121.85</v>
      </c>
      <c r="L1674" s="189"/>
      <c r="M1674" s="138"/>
      <c r="N1674" s="138"/>
      <c r="O1674" s="138"/>
      <c r="S1674" s="72"/>
      <c r="T1674" s="72"/>
      <c r="U1674" s="72"/>
      <c r="V1674" s="72"/>
    </row>
    <row r="1675" spans="1:22" s="63" customFormat="1" ht="33.75" x14ac:dyDescent="0.25">
      <c r="A1675" s="87">
        <v>10.35</v>
      </c>
      <c r="B1675" s="81" t="s">
        <v>53</v>
      </c>
      <c r="C1675" s="80">
        <v>15.1</v>
      </c>
      <c r="D1675" s="131" t="s">
        <v>1412</v>
      </c>
      <c r="E1675" s="83" t="s">
        <v>3663</v>
      </c>
      <c r="F1675" s="81" t="s">
        <v>334</v>
      </c>
      <c r="G1675" s="87">
        <v>33.659999999999997</v>
      </c>
      <c r="H1675" s="85"/>
      <c r="I1675" s="86">
        <v>28462.18</v>
      </c>
      <c r="J1675" s="185">
        <f t="shared" si="167"/>
        <v>962.78</v>
      </c>
      <c r="K1675" s="189">
        <f t="shared" si="168"/>
        <v>32407.17</v>
      </c>
      <c r="L1675" s="189"/>
      <c r="M1675" s="138"/>
      <c r="N1675" s="138"/>
      <c r="O1675" s="138"/>
      <c r="S1675" s="72"/>
      <c r="T1675" s="72"/>
      <c r="U1675" s="72"/>
      <c r="V1675" s="72"/>
    </row>
    <row r="1676" spans="1:22" s="63" customFormat="1" ht="33.75" x14ac:dyDescent="0.25">
      <c r="A1676" s="87">
        <v>10.36</v>
      </c>
      <c r="B1676" s="81" t="s">
        <v>53</v>
      </c>
      <c r="C1676" s="80">
        <v>15.2</v>
      </c>
      <c r="D1676" s="131" t="s">
        <v>1413</v>
      </c>
      <c r="E1676" s="83" t="s">
        <v>3664</v>
      </c>
      <c r="F1676" s="81" t="s">
        <v>334</v>
      </c>
      <c r="G1676" s="87">
        <v>46.92</v>
      </c>
      <c r="H1676" s="85"/>
      <c r="I1676" s="86">
        <v>18179.05</v>
      </c>
      <c r="J1676" s="185">
        <f t="shared" si="167"/>
        <v>441.15</v>
      </c>
      <c r="K1676" s="189">
        <f t="shared" si="168"/>
        <v>20698.759999999998</v>
      </c>
      <c r="L1676" s="189"/>
      <c r="M1676" s="138"/>
      <c r="N1676" s="138"/>
      <c r="O1676" s="138"/>
      <c r="S1676" s="72"/>
      <c r="T1676" s="72"/>
      <c r="U1676" s="72"/>
      <c r="V1676" s="72"/>
    </row>
    <row r="1677" spans="1:22" s="63" customFormat="1" ht="33.75" x14ac:dyDescent="0.25">
      <c r="A1677" s="87">
        <v>10.37</v>
      </c>
      <c r="B1677" s="81" t="s">
        <v>53</v>
      </c>
      <c r="C1677" s="80">
        <v>15.3</v>
      </c>
      <c r="D1677" s="131" t="s">
        <v>1414</v>
      </c>
      <c r="E1677" s="83" t="s">
        <v>3665</v>
      </c>
      <c r="F1677" s="81" t="s">
        <v>334</v>
      </c>
      <c r="G1677" s="87">
        <v>304.98</v>
      </c>
      <c r="H1677" s="85"/>
      <c r="I1677" s="86">
        <v>85836.21</v>
      </c>
      <c r="J1677" s="185">
        <f t="shared" si="167"/>
        <v>320.45999999999998</v>
      </c>
      <c r="K1677" s="189">
        <f t="shared" si="168"/>
        <v>97733.89</v>
      </c>
      <c r="L1677" s="189"/>
      <c r="M1677" s="138"/>
      <c r="N1677" s="138"/>
      <c r="O1677" s="138"/>
      <c r="S1677" s="72"/>
      <c r="T1677" s="72"/>
      <c r="U1677" s="72"/>
      <c r="V1677" s="72"/>
    </row>
    <row r="1678" spans="1:22" s="63" customFormat="1" ht="33.75" x14ac:dyDescent="0.25">
      <c r="A1678" s="87">
        <v>10.38</v>
      </c>
      <c r="B1678" s="81" t="s">
        <v>53</v>
      </c>
      <c r="C1678" s="82">
        <v>16</v>
      </c>
      <c r="D1678" s="131" t="s">
        <v>1415</v>
      </c>
      <c r="E1678" s="83" t="s">
        <v>1416</v>
      </c>
      <c r="F1678" s="81" t="s">
        <v>354</v>
      </c>
      <c r="G1678" s="87">
        <v>0.27</v>
      </c>
      <c r="H1678" s="85"/>
      <c r="I1678" s="86">
        <v>2528.3200000000002</v>
      </c>
      <c r="J1678" s="185">
        <f t="shared" si="167"/>
        <v>10662.02</v>
      </c>
      <c r="K1678" s="189">
        <f t="shared" si="168"/>
        <v>2878.75</v>
      </c>
      <c r="L1678" s="189"/>
      <c r="M1678" s="138"/>
      <c r="N1678" s="138"/>
      <c r="O1678" s="138"/>
      <c r="S1678" s="72"/>
      <c r="T1678" s="72"/>
      <c r="U1678" s="72"/>
      <c r="V1678" s="72"/>
    </row>
    <row r="1679" spans="1:22" s="63" customFormat="1" ht="33.75" x14ac:dyDescent="0.25">
      <c r="A1679" s="87">
        <v>10.39</v>
      </c>
      <c r="B1679" s="81" t="s">
        <v>53</v>
      </c>
      <c r="C1679" s="80">
        <v>16.100000000000001</v>
      </c>
      <c r="D1679" s="131" t="s">
        <v>1417</v>
      </c>
      <c r="E1679" s="83" t="s">
        <v>3666</v>
      </c>
      <c r="F1679" s="81" t="s">
        <v>334</v>
      </c>
      <c r="G1679" s="80">
        <v>183.6</v>
      </c>
      <c r="H1679" s="85"/>
      <c r="I1679" s="86">
        <v>17268.310000000001</v>
      </c>
      <c r="J1679" s="185">
        <f t="shared" si="167"/>
        <v>107.09</v>
      </c>
      <c r="K1679" s="189">
        <f t="shared" si="168"/>
        <v>19661.72</v>
      </c>
      <c r="L1679" s="189"/>
      <c r="M1679" s="138"/>
      <c r="N1679" s="138"/>
      <c r="O1679" s="138"/>
      <c r="S1679" s="72"/>
      <c r="T1679" s="72"/>
      <c r="U1679" s="72"/>
      <c r="V1679" s="72"/>
    </row>
    <row r="1680" spans="1:22" s="63" customFormat="1" ht="33.75" x14ac:dyDescent="0.25">
      <c r="A1680" s="87">
        <v>10.4</v>
      </c>
      <c r="B1680" s="81" t="s">
        <v>53</v>
      </c>
      <c r="C1680" s="80">
        <v>16.2</v>
      </c>
      <c r="D1680" s="131" t="s">
        <v>1418</v>
      </c>
      <c r="E1680" s="83" t="s">
        <v>3667</v>
      </c>
      <c r="F1680" s="81" t="s">
        <v>334</v>
      </c>
      <c r="G1680" s="87">
        <v>24.48</v>
      </c>
      <c r="H1680" s="85"/>
      <c r="I1680" s="86">
        <v>27503.759999999998</v>
      </c>
      <c r="J1680" s="185">
        <f t="shared" si="167"/>
        <v>1279.24</v>
      </c>
      <c r="K1680" s="189">
        <f t="shared" si="168"/>
        <v>31315.8</v>
      </c>
      <c r="L1680" s="189"/>
      <c r="M1680" s="138"/>
      <c r="N1680" s="138"/>
      <c r="O1680" s="138"/>
      <c r="S1680" s="72"/>
      <c r="T1680" s="72"/>
      <c r="U1680" s="72"/>
      <c r="V1680" s="72"/>
    </row>
    <row r="1681" spans="1:22" s="63" customFormat="1" ht="33.75" x14ac:dyDescent="0.25">
      <c r="A1681" s="87">
        <v>10.41</v>
      </c>
      <c r="B1681" s="81" t="s">
        <v>53</v>
      </c>
      <c r="C1681" s="82">
        <v>17</v>
      </c>
      <c r="D1681" s="131" t="s">
        <v>1419</v>
      </c>
      <c r="E1681" s="83" t="s">
        <v>1420</v>
      </c>
      <c r="F1681" s="81" t="s">
        <v>354</v>
      </c>
      <c r="G1681" s="87">
        <v>0.09</v>
      </c>
      <c r="H1681" s="85"/>
      <c r="I1681" s="86">
        <v>2107.54</v>
      </c>
      <c r="J1681" s="185">
        <f t="shared" si="167"/>
        <v>26662.720000000001</v>
      </c>
      <c r="K1681" s="189">
        <f t="shared" si="168"/>
        <v>2399.64</v>
      </c>
      <c r="L1681" s="189"/>
      <c r="M1681" s="138"/>
      <c r="N1681" s="138"/>
      <c r="O1681" s="138"/>
      <c r="S1681" s="72"/>
      <c r="T1681" s="72"/>
      <c r="U1681" s="72"/>
      <c r="V1681" s="72"/>
    </row>
    <row r="1682" spans="1:22" s="63" customFormat="1" ht="33.75" x14ac:dyDescent="0.25">
      <c r="A1682" s="87">
        <v>10.42</v>
      </c>
      <c r="B1682" s="81" t="s">
        <v>53</v>
      </c>
      <c r="C1682" s="82">
        <v>18</v>
      </c>
      <c r="D1682" s="131" t="s">
        <v>1421</v>
      </c>
      <c r="E1682" s="83" t="s">
        <v>1422</v>
      </c>
      <c r="F1682" s="81" t="s">
        <v>354</v>
      </c>
      <c r="G1682" s="87">
        <v>0.08</v>
      </c>
      <c r="H1682" s="85"/>
      <c r="I1682" s="86">
        <v>2742.83</v>
      </c>
      <c r="J1682" s="185">
        <f t="shared" si="167"/>
        <v>39037.33</v>
      </c>
      <c r="K1682" s="189">
        <f t="shared" si="168"/>
        <v>3122.99</v>
      </c>
      <c r="L1682" s="189"/>
      <c r="M1682" s="138"/>
      <c r="N1682" s="138"/>
      <c r="O1682" s="138"/>
      <c r="S1682" s="72"/>
      <c r="T1682" s="72"/>
      <c r="U1682" s="72"/>
      <c r="V1682" s="72"/>
    </row>
    <row r="1683" spans="1:22" s="63" customFormat="1" ht="33.75" x14ac:dyDescent="0.25">
      <c r="A1683" s="87">
        <v>10.43</v>
      </c>
      <c r="B1683" s="81" t="s">
        <v>53</v>
      </c>
      <c r="C1683" s="80">
        <v>18.100000000000001</v>
      </c>
      <c r="D1683" s="131" t="s">
        <v>1423</v>
      </c>
      <c r="E1683" s="83" t="s">
        <v>3668</v>
      </c>
      <c r="F1683" s="81" t="s">
        <v>334</v>
      </c>
      <c r="G1683" s="87">
        <v>17.34</v>
      </c>
      <c r="H1683" s="85"/>
      <c r="I1683" s="86">
        <v>3006.24</v>
      </c>
      <c r="J1683" s="185">
        <f t="shared" si="167"/>
        <v>197.4</v>
      </c>
      <c r="K1683" s="189">
        <f t="shared" si="168"/>
        <v>3422.92</v>
      </c>
      <c r="L1683" s="189"/>
      <c r="M1683" s="138"/>
      <c r="N1683" s="138"/>
      <c r="O1683" s="138"/>
      <c r="S1683" s="72"/>
      <c r="T1683" s="72"/>
      <c r="U1683" s="72"/>
      <c r="V1683" s="72"/>
    </row>
    <row r="1684" spans="1:22" s="63" customFormat="1" ht="15" x14ac:dyDescent="0.25">
      <c r="A1684" s="87">
        <v>10.44</v>
      </c>
      <c r="B1684" s="81" t="s">
        <v>53</v>
      </c>
      <c r="C1684" s="82">
        <v>19</v>
      </c>
      <c r="D1684" s="131" t="s">
        <v>1424</v>
      </c>
      <c r="E1684" s="83" t="s">
        <v>1425</v>
      </c>
      <c r="F1684" s="81" t="s">
        <v>354</v>
      </c>
      <c r="G1684" s="87">
        <v>26.52</v>
      </c>
      <c r="H1684" s="85"/>
      <c r="I1684" s="86">
        <v>30702.48</v>
      </c>
      <c r="J1684" s="185">
        <f t="shared" si="167"/>
        <v>1318.17</v>
      </c>
      <c r="K1684" s="189">
        <f t="shared" si="168"/>
        <v>34957.870000000003</v>
      </c>
      <c r="L1684" s="189"/>
      <c r="M1684" s="138"/>
      <c r="N1684" s="138"/>
      <c r="O1684" s="138"/>
      <c r="S1684" s="72"/>
      <c r="T1684" s="72"/>
      <c r="U1684" s="72"/>
      <c r="V1684" s="72"/>
    </row>
    <row r="1685" spans="1:22" s="63" customFormat="1" ht="33.75" x14ac:dyDescent="0.25">
      <c r="A1685" s="87">
        <v>10.45</v>
      </c>
      <c r="B1685" s="81" t="s">
        <v>53</v>
      </c>
      <c r="C1685" s="80">
        <v>19.100000000000001</v>
      </c>
      <c r="D1685" s="131" t="s">
        <v>1426</v>
      </c>
      <c r="E1685" s="83" t="s">
        <v>3669</v>
      </c>
      <c r="F1685" s="81" t="s">
        <v>334</v>
      </c>
      <c r="G1685" s="87">
        <v>2011.44</v>
      </c>
      <c r="H1685" s="85"/>
      <c r="I1685" s="86">
        <v>130937.46</v>
      </c>
      <c r="J1685" s="185">
        <f t="shared" si="167"/>
        <v>74.12</v>
      </c>
      <c r="K1685" s="189">
        <f t="shared" si="168"/>
        <v>149087.93</v>
      </c>
      <c r="L1685" s="189"/>
      <c r="M1685" s="138"/>
      <c r="N1685" s="138"/>
      <c r="O1685" s="138"/>
      <c r="S1685" s="72"/>
      <c r="T1685" s="72"/>
      <c r="U1685" s="72"/>
      <c r="V1685" s="72"/>
    </row>
    <row r="1686" spans="1:22" s="63" customFormat="1" ht="15" x14ac:dyDescent="0.25">
      <c r="A1686" s="87">
        <v>10.46</v>
      </c>
      <c r="B1686" s="81" t="s">
        <v>53</v>
      </c>
      <c r="C1686" s="82">
        <v>20</v>
      </c>
      <c r="D1686" s="131" t="s">
        <v>1427</v>
      </c>
      <c r="E1686" s="83" t="s">
        <v>1428</v>
      </c>
      <c r="F1686" s="81" t="s">
        <v>354</v>
      </c>
      <c r="G1686" s="80">
        <v>17.2</v>
      </c>
      <c r="H1686" s="85"/>
      <c r="I1686" s="86">
        <v>37995.589999999997</v>
      </c>
      <c r="J1686" s="185">
        <f t="shared" si="167"/>
        <v>2515.2199999999998</v>
      </c>
      <c r="K1686" s="189">
        <f t="shared" si="168"/>
        <v>43261.78</v>
      </c>
      <c r="L1686" s="189"/>
      <c r="M1686" s="138"/>
      <c r="N1686" s="138"/>
      <c r="O1686" s="138"/>
      <c r="S1686" s="72"/>
      <c r="T1686" s="72"/>
      <c r="U1686" s="72"/>
      <c r="V1686" s="72"/>
    </row>
    <row r="1687" spans="1:22" s="63" customFormat="1" ht="33.75" x14ac:dyDescent="0.25">
      <c r="A1687" s="87">
        <v>10.47</v>
      </c>
      <c r="B1687" s="81" t="s">
        <v>53</v>
      </c>
      <c r="C1687" s="80">
        <v>20.100000000000001</v>
      </c>
      <c r="D1687" s="131" t="s">
        <v>1429</v>
      </c>
      <c r="E1687" s="83" t="s">
        <v>3670</v>
      </c>
      <c r="F1687" s="81" t="s">
        <v>334</v>
      </c>
      <c r="G1687" s="80">
        <v>499.6</v>
      </c>
      <c r="H1687" s="85"/>
      <c r="I1687" s="86">
        <v>32522.2</v>
      </c>
      <c r="J1687" s="185">
        <f t="shared" si="167"/>
        <v>74.12</v>
      </c>
      <c r="K1687" s="189">
        <f t="shared" si="168"/>
        <v>37030.35</v>
      </c>
      <c r="L1687" s="189"/>
      <c r="M1687" s="138"/>
      <c r="N1687" s="138"/>
      <c r="O1687" s="138"/>
      <c r="S1687" s="72"/>
      <c r="T1687" s="72"/>
      <c r="U1687" s="72"/>
      <c r="V1687" s="72"/>
    </row>
    <row r="1688" spans="1:22" s="63" customFormat="1" ht="33.75" x14ac:dyDescent="0.25">
      <c r="A1688" s="87">
        <v>10.48</v>
      </c>
      <c r="B1688" s="81" t="s">
        <v>53</v>
      </c>
      <c r="C1688" s="80">
        <v>20.2</v>
      </c>
      <c r="D1688" s="131" t="s">
        <v>1430</v>
      </c>
      <c r="E1688" s="83" t="s">
        <v>3671</v>
      </c>
      <c r="F1688" s="81" t="s">
        <v>334</v>
      </c>
      <c r="G1688" s="87">
        <v>164.22</v>
      </c>
      <c r="H1688" s="85"/>
      <c r="I1688" s="86">
        <v>28470.7</v>
      </c>
      <c r="J1688" s="185">
        <f t="shared" si="167"/>
        <v>197.4</v>
      </c>
      <c r="K1688" s="189">
        <f t="shared" si="168"/>
        <v>32417.03</v>
      </c>
      <c r="L1688" s="189"/>
      <c r="M1688" s="138"/>
      <c r="N1688" s="138"/>
      <c r="O1688" s="138"/>
      <c r="S1688" s="72"/>
      <c r="T1688" s="72"/>
      <c r="U1688" s="72"/>
      <c r="V1688" s="72"/>
    </row>
    <row r="1689" spans="1:22" s="63" customFormat="1" ht="33.75" x14ac:dyDescent="0.25">
      <c r="A1689" s="87">
        <v>10.49</v>
      </c>
      <c r="B1689" s="81" t="s">
        <v>53</v>
      </c>
      <c r="C1689" s="80">
        <v>20.3</v>
      </c>
      <c r="D1689" s="131" t="s">
        <v>1431</v>
      </c>
      <c r="E1689" s="83" t="s">
        <v>3672</v>
      </c>
      <c r="F1689" s="81" t="s">
        <v>334</v>
      </c>
      <c r="G1689" s="80">
        <v>622.20000000000005</v>
      </c>
      <c r="H1689" s="85"/>
      <c r="I1689" s="86">
        <v>45878.43</v>
      </c>
      <c r="J1689" s="185">
        <f t="shared" si="167"/>
        <v>83.96</v>
      </c>
      <c r="K1689" s="189">
        <f t="shared" si="168"/>
        <v>52239.91</v>
      </c>
      <c r="L1689" s="189"/>
      <c r="M1689" s="138"/>
      <c r="N1689" s="138"/>
      <c r="O1689" s="138"/>
      <c r="S1689" s="72"/>
      <c r="T1689" s="72"/>
      <c r="U1689" s="72"/>
      <c r="V1689" s="72"/>
    </row>
    <row r="1690" spans="1:22" s="63" customFormat="1" ht="15" x14ac:dyDescent="0.25">
      <c r="A1690" s="87">
        <v>10.5</v>
      </c>
      <c r="B1690" s="81" t="s">
        <v>53</v>
      </c>
      <c r="C1690" s="82">
        <v>21</v>
      </c>
      <c r="D1690" s="131" t="s">
        <v>1432</v>
      </c>
      <c r="E1690" s="83" t="s">
        <v>1433</v>
      </c>
      <c r="F1690" s="81" t="s">
        <v>354</v>
      </c>
      <c r="G1690" s="87">
        <v>2.92</v>
      </c>
      <c r="H1690" s="85"/>
      <c r="I1690" s="86">
        <v>9515.89</v>
      </c>
      <c r="J1690" s="185">
        <f t="shared" si="167"/>
        <v>3710.55</v>
      </c>
      <c r="K1690" s="189">
        <f t="shared" si="168"/>
        <v>10834.81</v>
      </c>
      <c r="L1690" s="189"/>
      <c r="M1690" s="138"/>
      <c r="N1690" s="138"/>
      <c r="O1690" s="138"/>
      <c r="S1690" s="72"/>
      <c r="T1690" s="72"/>
      <c r="U1690" s="72"/>
      <c r="V1690" s="72"/>
    </row>
    <row r="1691" spans="1:22" s="63" customFormat="1" ht="33.75" x14ac:dyDescent="0.25">
      <c r="A1691" s="87">
        <v>10.51</v>
      </c>
      <c r="B1691" s="81" t="s">
        <v>53</v>
      </c>
      <c r="C1691" s="80">
        <v>21.1</v>
      </c>
      <c r="D1691" s="131" t="s">
        <v>1434</v>
      </c>
      <c r="E1691" s="83" t="s">
        <v>3673</v>
      </c>
      <c r="F1691" s="81" t="s">
        <v>334</v>
      </c>
      <c r="G1691" s="87">
        <v>22.44</v>
      </c>
      <c r="H1691" s="85"/>
      <c r="I1691" s="86">
        <v>6315.72</v>
      </c>
      <c r="J1691" s="185">
        <f t="shared" si="167"/>
        <v>320.45999999999998</v>
      </c>
      <c r="K1691" s="189">
        <f t="shared" si="168"/>
        <v>7191.12</v>
      </c>
      <c r="L1691" s="189"/>
      <c r="M1691" s="138"/>
      <c r="N1691" s="138"/>
      <c r="O1691" s="138"/>
      <c r="S1691" s="72"/>
      <c r="T1691" s="72"/>
      <c r="U1691" s="72"/>
      <c r="V1691" s="72"/>
    </row>
    <row r="1692" spans="1:22" s="63" customFormat="1" ht="33.75" x14ac:dyDescent="0.25">
      <c r="A1692" s="87">
        <v>10.52</v>
      </c>
      <c r="B1692" s="81" t="s">
        <v>53</v>
      </c>
      <c r="C1692" s="80">
        <v>21.2</v>
      </c>
      <c r="D1692" s="131" t="s">
        <v>1435</v>
      </c>
      <c r="E1692" s="83" t="s">
        <v>3674</v>
      </c>
      <c r="F1692" s="81" t="s">
        <v>334</v>
      </c>
      <c r="G1692" s="87">
        <v>39.78</v>
      </c>
      <c r="H1692" s="85"/>
      <c r="I1692" s="86">
        <v>45726.23</v>
      </c>
      <c r="J1692" s="185">
        <f t="shared" si="167"/>
        <v>1308.8</v>
      </c>
      <c r="K1692" s="189">
        <f t="shared" si="168"/>
        <v>52064.06</v>
      </c>
      <c r="L1692" s="189"/>
      <c r="M1692" s="138"/>
      <c r="N1692" s="138"/>
      <c r="O1692" s="138"/>
      <c r="S1692" s="72"/>
      <c r="T1692" s="72"/>
      <c r="U1692" s="72"/>
      <c r="V1692" s="72"/>
    </row>
    <row r="1693" spans="1:22" s="63" customFormat="1" ht="33.75" x14ac:dyDescent="0.25">
      <c r="A1693" s="87">
        <v>10.53</v>
      </c>
      <c r="B1693" s="81" t="s">
        <v>53</v>
      </c>
      <c r="C1693" s="80">
        <v>21.3</v>
      </c>
      <c r="D1693" s="131" t="s">
        <v>1436</v>
      </c>
      <c r="E1693" s="83" t="s">
        <v>3675</v>
      </c>
      <c r="F1693" s="81" t="s">
        <v>334</v>
      </c>
      <c r="G1693" s="87">
        <v>111.18</v>
      </c>
      <c r="H1693" s="85"/>
      <c r="I1693" s="86">
        <v>14265.01</v>
      </c>
      <c r="J1693" s="185">
        <f t="shared" si="167"/>
        <v>146.09</v>
      </c>
      <c r="K1693" s="189">
        <f t="shared" si="168"/>
        <v>16242.29</v>
      </c>
      <c r="L1693" s="189"/>
      <c r="M1693" s="138"/>
      <c r="N1693" s="138"/>
      <c r="O1693" s="138"/>
      <c r="S1693" s="72"/>
      <c r="T1693" s="72"/>
      <c r="U1693" s="72"/>
      <c r="V1693" s="72"/>
    </row>
    <row r="1694" spans="1:22" s="63" customFormat="1" ht="22.5" x14ac:dyDescent="0.25">
      <c r="A1694" s="87">
        <v>10.54</v>
      </c>
      <c r="B1694" s="81" t="s">
        <v>53</v>
      </c>
      <c r="C1694" s="82">
        <v>22</v>
      </c>
      <c r="D1694" s="131" t="s">
        <v>1437</v>
      </c>
      <c r="E1694" s="83" t="s">
        <v>1438</v>
      </c>
      <c r="F1694" s="81" t="s">
        <v>354</v>
      </c>
      <c r="G1694" s="87">
        <v>22.15</v>
      </c>
      <c r="H1694" s="85"/>
      <c r="I1694" s="86">
        <v>296222.51</v>
      </c>
      <c r="J1694" s="185">
        <f t="shared" si="167"/>
        <v>15227.04</v>
      </c>
      <c r="K1694" s="189">
        <f t="shared" si="168"/>
        <v>337278.94</v>
      </c>
      <c r="L1694" s="189"/>
      <c r="M1694" s="138"/>
      <c r="N1694" s="138"/>
      <c r="O1694" s="138"/>
      <c r="S1694" s="72"/>
      <c r="T1694" s="72"/>
      <c r="U1694" s="72"/>
      <c r="V1694" s="72"/>
    </row>
    <row r="1695" spans="1:22" s="63" customFormat="1" ht="33.75" x14ac:dyDescent="0.25">
      <c r="A1695" s="87">
        <v>10.55</v>
      </c>
      <c r="B1695" s="81" t="s">
        <v>53</v>
      </c>
      <c r="C1695" s="80">
        <v>22.1</v>
      </c>
      <c r="D1695" s="131" t="s">
        <v>1439</v>
      </c>
      <c r="E1695" s="83" t="s">
        <v>3676</v>
      </c>
      <c r="F1695" s="81" t="s">
        <v>334</v>
      </c>
      <c r="G1695" s="82">
        <v>2499</v>
      </c>
      <c r="H1695" s="85"/>
      <c r="I1695" s="86">
        <v>219976.95999999999</v>
      </c>
      <c r="J1695" s="185">
        <f t="shared" si="167"/>
        <v>100.23</v>
      </c>
      <c r="K1695" s="189">
        <f t="shared" si="168"/>
        <v>250474.77</v>
      </c>
      <c r="L1695" s="189"/>
      <c r="M1695" s="138"/>
      <c r="N1695" s="138"/>
      <c r="O1695" s="138"/>
      <c r="S1695" s="72"/>
      <c r="T1695" s="72"/>
      <c r="U1695" s="72"/>
      <c r="V1695" s="72"/>
    </row>
    <row r="1696" spans="1:22" s="63" customFormat="1" ht="22.5" x14ac:dyDescent="0.25">
      <c r="A1696" s="87">
        <v>10.56</v>
      </c>
      <c r="B1696" s="81" t="s">
        <v>53</v>
      </c>
      <c r="C1696" s="82">
        <v>23</v>
      </c>
      <c r="D1696" s="131" t="s">
        <v>1054</v>
      </c>
      <c r="E1696" s="83" t="s">
        <v>1055</v>
      </c>
      <c r="F1696" s="81" t="s">
        <v>354</v>
      </c>
      <c r="G1696" s="80">
        <v>0.3</v>
      </c>
      <c r="H1696" s="85"/>
      <c r="I1696" s="86">
        <v>9848.24</v>
      </c>
      <c r="J1696" s="185">
        <f t="shared" si="167"/>
        <v>37377.35</v>
      </c>
      <c r="K1696" s="189">
        <f t="shared" si="168"/>
        <v>11213.21</v>
      </c>
      <c r="L1696" s="189"/>
      <c r="M1696" s="138"/>
      <c r="N1696" s="138"/>
      <c r="O1696" s="138"/>
      <c r="S1696" s="72"/>
      <c r="T1696" s="72"/>
      <c r="U1696" s="72"/>
      <c r="V1696" s="72"/>
    </row>
    <row r="1697" spans="1:22" s="63" customFormat="1" ht="33.75" x14ac:dyDescent="0.25">
      <c r="A1697" s="87">
        <v>10.57</v>
      </c>
      <c r="B1697" s="81" t="s">
        <v>53</v>
      </c>
      <c r="C1697" s="80">
        <v>23.1</v>
      </c>
      <c r="D1697" s="131" t="s">
        <v>1440</v>
      </c>
      <c r="E1697" s="83" t="s">
        <v>3677</v>
      </c>
      <c r="F1697" s="81" t="s">
        <v>334</v>
      </c>
      <c r="G1697" s="80">
        <v>30.6</v>
      </c>
      <c r="H1697" s="85"/>
      <c r="I1697" s="86">
        <v>2721.72</v>
      </c>
      <c r="J1697" s="185">
        <f t="shared" si="167"/>
        <v>101.27</v>
      </c>
      <c r="K1697" s="189">
        <f t="shared" si="168"/>
        <v>3098.86</v>
      </c>
      <c r="L1697" s="189"/>
      <c r="M1697" s="138"/>
      <c r="N1697" s="138"/>
      <c r="O1697" s="138"/>
      <c r="S1697" s="72"/>
      <c r="T1697" s="72"/>
      <c r="U1697" s="72"/>
      <c r="V1697" s="72"/>
    </row>
    <row r="1698" spans="1:22" s="63" customFormat="1" ht="22.5" x14ac:dyDescent="0.25">
      <c r="A1698" s="87">
        <v>10.58</v>
      </c>
      <c r="B1698" s="81" t="s">
        <v>53</v>
      </c>
      <c r="C1698" s="82">
        <v>24</v>
      </c>
      <c r="D1698" s="131" t="s">
        <v>1441</v>
      </c>
      <c r="E1698" s="83" t="s">
        <v>1442</v>
      </c>
      <c r="F1698" s="81" t="s">
        <v>354</v>
      </c>
      <c r="G1698" s="80">
        <v>3.9</v>
      </c>
      <c r="H1698" s="85"/>
      <c r="I1698" s="86">
        <v>93681.54</v>
      </c>
      <c r="J1698" s="185">
        <f t="shared" si="167"/>
        <v>27350.21</v>
      </c>
      <c r="K1698" s="189">
        <f t="shared" si="168"/>
        <v>106665.82</v>
      </c>
      <c r="L1698" s="189"/>
      <c r="M1698" s="138"/>
      <c r="N1698" s="138"/>
      <c r="O1698" s="138"/>
      <c r="S1698" s="72"/>
      <c r="T1698" s="72"/>
      <c r="U1698" s="72"/>
      <c r="V1698" s="72"/>
    </row>
    <row r="1699" spans="1:22" s="63" customFormat="1" ht="22.5" x14ac:dyDescent="0.25">
      <c r="A1699" s="87">
        <v>10.59</v>
      </c>
      <c r="B1699" s="81" t="s">
        <v>53</v>
      </c>
      <c r="C1699" s="80">
        <v>24.1</v>
      </c>
      <c r="D1699" s="131" t="s">
        <v>1443</v>
      </c>
      <c r="E1699" s="83" t="s">
        <v>3678</v>
      </c>
      <c r="F1699" s="81" t="s">
        <v>219</v>
      </c>
      <c r="G1699" s="82">
        <v>40</v>
      </c>
      <c r="H1699" s="85"/>
      <c r="I1699" s="86">
        <v>9360.32</v>
      </c>
      <c r="J1699" s="185">
        <f t="shared" si="167"/>
        <v>266.44</v>
      </c>
      <c r="K1699" s="189">
        <f t="shared" si="168"/>
        <v>10657.6</v>
      </c>
      <c r="L1699" s="189"/>
      <c r="M1699" s="138"/>
      <c r="N1699" s="138"/>
      <c r="O1699" s="138"/>
      <c r="S1699" s="72"/>
      <c r="T1699" s="72"/>
      <c r="U1699" s="72"/>
      <c r="V1699" s="72"/>
    </row>
    <row r="1700" spans="1:22" s="63" customFormat="1" ht="22.5" x14ac:dyDescent="0.25">
      <c r="A1700" s="87">
        <v>10.6</v>
      </c>
      <c r="B1700" s="81" t="s">
        <v>53</v>
      </c>
      <c r="C1700" s="80">
        <v>24.2</v>
      </c>
      <c r="D1700" s="131" t="s">
        <v>1444</v>
      </c>
      <c r="E1700" s="83" t="s">
        <v>1445</v>
      </c>
      <c r="F1700" s="81" t="s">
        <v>210</v>
      </c>
      <c r="G1700" s="80">
        <v>175.5</v>
      </c>
      <c r="H1700" s="85"/>
      <c r="I1700" s="86">
        <v>116586.94</v>
      </c>
      <c r="J1700" s="185">
        <f t="shared" si="167"/>
        <v>756.39</v>
      </c>
      <c r="K1700" s="189">
        <f t="shared" si="168"/>
        <v>132746.45000000001</v>
      </c>
      <c r="L1700" s="189"/>
      <c r="M1700" s="138"/>
      <c r="N1700" s="138"/>
      <c r="O1700" s="138"/>
      <c r="S1700" s="72"/>
      <c r="T1700" s="72"/>
      <c r="U1700" s="72"/>
      <c r="V1700" s="72"/>
    </row>
    <row r="1701" spans="1:22" s="63" customFormat="1" ht="22.5" x14ac:dyDescent="0.25">
      <c r="A1701" s="87">
        <v>10.61</v>
      </c>
      <c r="B1701" s="81" t="s">
        <v>53</v>
      </c>
      <c r="C1701" s="80">
        <v>24.3</v>
      </c>
      <c r="D1701" s="131" t="s">
        <v>1446</v>
      </c>
      <c r="E1701" s="83" t="s">
        <v>3679</v>
      </c>
      <c r="F1701" s="81" t="s">
        <v>219</v>
      </c>
      <c r="G1701" s="82">
        <v>40</v>
      </c>
      <c r="H1701" s="85"/>
      <c r="I1701" s="86">
        <v>3439.05</v>
      </c>
      <c r="J1701" s="185">
        <f t="shared" si="167"/>
        <v>97.89</v>
      </c>
      <c r="K1701" s="189">
        <f t="shared" si="168"/>
        <v>3915.6</v>
      </c>
      <c r="L1701" s="189"/>
      <c r="M1701" s="138"/>
      <c r="N1701" s="138"/>
      <c r="O1701" s="138"/>
      <c r="S1701" s="72"/>
      <c r="T1701" s="72"/>
      <c r="U1701" s="72"/>
      <c r="V1701" s="72"/>
    </row>
    <row r="1702" spans="1:22" s="63" customFormat="1" ht="22.5" x14ac:dyDescent="0.25">
      <c r="A1702" s="87">
        <v>10.62</v>
      </c>
      <c r="B1702" s="81" t="s">
        <v>53</v>
      </c>
      <c r="C1702" s="80">
        <v>24.4</v>
      </c>
      <c r="D1702" s="131" t="s">
        <v>1447</v>
      </c>
      <c r="E1702" s="83" t="s">
        <v>1448</v>
      </c>
      <c r="F1702" s="81" t="s">
        <v>216</v>
      </c>
      <c r="G1702" s="80">
        <v>3.7</v>
      </c>
      <c r="H1702" s="85"/>
      <c r="I1702" s="86">
        <v>153320.22</v>
      </c>
      <c r="J1702" s="185">
        <f t="shared" si="167"/>
        <v>47181.19</v>
      </c>
      <c r="K1702" s="189">
        <f t="shared" si="168"/>
        <v>174570.4</v>
      </c>
      <c r="L1702" s="189"/>
      <c r="M1702" s="138"/>
      <c r="N1702" s="138"/>
      <c r="O1702" s="138"/>
      <c r="S1702" s="72"/>
      <c r="T1702" s="72"/>
      <c r="U1702" s="72"/>
      <c r="V1702" s="72"/>
    </row>
    <row r="1703" spans="1:22" s="63" customFormat="1" ht="22.5" x14ac:dyDescent="0.25">
      <c r="A1703" s="87">
        <v>10.63</v>
      </c>
      <c r="B1703" s="81" t="s">
        <v>53</v>
      </c>
      <c r="C1703" s="82">
        <v>25</v>
      </c>
      <c r="D1703" s="131" t="s">
        <v>1449</v>
      </c>
      <c r="E1703" s="83" t="s">
        <v>1450</v>
      </c>
      <c r="F1703" s="81" t="s">
        <v>354</v>
      </c>
      <c r="G1703" s="80">
        <v>0.2</v>
      </c>
      <c r="H1703" s="85"/>
      <c r="I1703" s="86">
        <v>4909.7</v>
      </c>
      <c r="J1703" s="185">
        <f t="shared" si="167"/>
        <v>27950.92</v>
      </c>
      <c r="K1703" s="189">
        <f t="shared" si="168"/>
        <v>5590.18</v>
      </c>
      <c r="L1703" s="189"/>
      <c r="M1703" s="138"/>
      <c r="N1703" s="138"/>
      <c r="O1703" s="138"/>
      <c r="S1703" s="72"/>
      <c r="T1703" s="72"/>
      <c r="U1703" s="72"/>
      <c r="V1703" s="72"/>
    </row>
    <row r="1704" spans="1:22" s="63" customFormat="1" ht="22.5" x14ac:dyDescent="0.25">
      <c r="A1704" s="87">
        <v>10.64</v>
      </c>
      <c r="B1704" s="81" t="s">
        <v>53</v>
      </c>
      <c r="C1704" s="80">
        <v>25.1</v>
      </c>
      <c r="D1704" s="131" t="s">
        <v>1451</v>
      </c>
      <c r="E1704" s="83" t="s">
        <v>1452</v>
      </c>
      <c r="F1704" s="81" t="s">
        <v>226</v>
      </c>
      <c r="G1704" s="88">
        <v>3.1399999999999997E-2</v>
      </c>
      <c r="H1704" s="85"/>
      <c r="I1704" s="86">
        <v>1668.37</v>
      </c>
      <c r="J1704" s="185">
        <f t="shared" si="167"/>
        <v>60497.01</v>
      </c>
      <c r="K1704" s="189">
        <f t="shared" si="168"/>
        <v>1899.61</v>
      </c>
      <c r="L1704" s="189"/>
      <c r="M1704" s="138"/>
      <c r="N1704" s="138"/>
      <c r="O1704" s="138"/>
      <c r="S1704" s="72"/>
      <c r="T1704" s="72"/>
      <c r="U1704" s="72"/>
      <c r="V1704" s="72"/>
    </row>
    <row r="1705" spans="1:22" s="63" customFormat="1" ht="22.5" x14ac:dyDescent="0.25">
      <c r="A1705" s="87">
        <v>10.65</v>
      </c>
      <c r="B1705" s="81" t="s">
        <v>53</v>
      </c>
      <c r="C1705" s="82">
        <v>26</v>
      </c>
      <c r="D1705" s="131" t="s">
        <v>1453</v>
      </c>
      <c r="E1705" s="83" t="s">
        <v>1454</v>
      </c>
      <c r="F1705" s="81" t="s">
        <v>219</v>
      </c>
      <c r="G1705" s="82">
        <v>150</v>
      </c>
      <c r="H1705" s="85"/>
      <c r="I1705" s="86">
        <v>150947.17000000001</v>
      </c>
      <c r="J1705" s="185">
        <f t="shared" si="167"/>
        <v>1145.79</v>
      </c>
      <c r="K1705" s="189">
        <f t="shared" ref="K1705" si="169">ROUND(G1705*J1705,2)</f>
        <v>171868.5</v>
      </c>
      <c r="L1705" s="189"/>
      <c r="M1705" s="138"/>
      <c r="N1705" s="138"/>
      <c r="O1705" s="138"/>
      <c r="S1705" s="72"/>
      <c r="T1705" s="72"/>
      <c r="U1705" s="72"/>
      <c r="V1705" s="72"/>
    </row>
    <row r="1706" spans="1:22" s="128" customFormat="1" ht="12.75" x14ac:dyDescent="0.25">
      <c r="A1706" s="237"/>
      <c r="B1706" s="125"/>
      <c r="C1706" s="76"/>
      <c r="D1706" s="77"/>
      <c r="E1706" s="126" t="s">
        <v>3311</v>
      </c>
      <c r="F1706" s="125"/>
      <c r="G1706" s="76"/>
      <c r="H1706" s="127"/>
      <c r="I1706" s="78"/>
      <c r="J1706" s="238"/>
      <c r="K1706" s="239"/>
      <c r="L1706" s="239"/>
      <c r="M1706" s="79"/>
      <c r="N1706" s="79"/>
      <c r="O1706" s="79"/>
      <c r="S1706" s="129"/>
      <c r="T1706" s="129"/>
      <c r="U1706" s="129"/>
      <c r="V1706" s="129"/>
    </row>
    <row r="1707" spans="1:22" s="63" customFormat="1" ht="22.5" x14ac:dyDescent="0.25">
      <c r="A1707" s="87">
        <v>10.66</v>
      </c>
      <c r="B1707" s="81" t="s">
        <v>53</v>
      </c>
      <c r="C1707" s="82">
        <v>27</v>
      </c>
      <c r="D1707" s="131" t="s">
        <v>1455</v>
      </c>
      <c r="E1707" s="83" t="s">
        <v>1456</v>
      </c>
      <c r="F1707" s="81" t="s">
        <v>219</v>
      </c>
      <c r="G1707" s="82">
        <v>5</v>
      </c>
      <c r="H1707" s="85"/>
      <c r="I1707" s="86">
        <v>38210.910000000003</v>
      </c>
      <c r="J1707" s="185">
        <f>ROUND($I1707/$G1707*$N$11,2)</f>
        <v>8701.39</v>
      </c>
      <c r="K1707" s="189">
        <f t="shared" ref="K1707:K1726" si="170">ROUND(G1707*J1707,2)</f>
        <v>43506.95</v>
      </c>
      <c r="L1707" s="189"/>
      <c r="M1707" s="138"/>
      <c r="N1707" s="138"/>
      <c r="O1707" s="138"/>
      <c r="S1707" s="72"/>
      <c r="T1707" s="72"/>
      <c r="U1707" s="72"/>
      <c r="V1707" s="72"/>
    </row>
    <row r="1708" spans="1:22" s="63" customFormat="1" ht="22.5" x14ac:dyDescent="0.25">
      <c r="A1708" s="101">
        <v>10.67</v>
      </c>
      <c r="B1708" s="102" t="s">
        <v>53</v>
      </c>
      <c r="C1708" s="103">
        <v>27.1</v>
      </c>
      <c r="D1708" s="167" t="s">
        <v>1457</v>
      </c>
      <c r="E1708" s="104" t="s">
        <v>3680</v>
      </c>
      <c r="F1708" s="102" t="s">
        <v>219</v>
      </c>
      <c r="G1708" s="105">
        <v>1</v>
      </c>
      <c r="H1708" s="106"/>
      <c r="I1708" s="107">
        <f>196461.87+0.02</f>
        <v>196461.88999999998</v>
      </c>
      <c r="J1708" s="192">
        <f>ROUND($I1708/$G1708*$N$12,2)</f>
        <v>219742.62</v>
      </c>
      <c r="K1708" s="193">
        <f t="shared" si="170"/>
        <v>219742.62</v>
      </c>
      <c r="L1708" s="193"/>
      <c r="M1708" s="138"/>
      <c r="N1708" s="138"/>
      <c r="O1708" s="138"/>
      <c r="S1708" s="72"/>
      <c r="T1708" s="72"/>
      <c r="U1708" s="72"/>
      <c r="V1708" s="72"/>
    </row>
    <row r="1709" spans="1:22" s="63" customFormat="1" ht="22.5" x14ac:dyDescent="0.25">
      <c r="A1709" s="101">
        <v>10.68</v>
      </c>
      <c r="B1709" s="102" t="s">
        <v>53</v>
      </c>
      <c r="C1709" s="103">
        <v>27.2</v>
      </c>
      <c r="D1709" s="167" t="s">
        <v>1458</v>
      </c>
      <c r="E1709" s="104" t="s">
        <v>3681</v>
      </c>
      <c r="F1709" s="102" t="s">
        <v>219</v>
      </c>
      <c r="G1709" s="105">
        <v>1</v>
      </c>
      <c r="H1709" s="106"/>
      <c r="I1709" s="107">
        <v>126337</v>
      </c>
      <c r="J1709" s="192">
        <f>ROUND($I1709/$G1709*$N$12,2)</f>
        <v>141307.93</v>
      </c>
      <c r="K1709" s="193">
        <f t="shared" si="170"/>
        <v>141307.93</v>
      </c>
      <c r="L1709" s="193"/>
      <c r="M1709" s="138"/>
      <c r="N1709" s="138"/>
      <c r="O1709" s="138"/>
      <c r="S1709" s="72"/>
      <c r="T1709" s="72"/>
      <c r="U1709" s="72"/>
      <c r="V1709" s="72"/>
    </row>
    <row r="1710" spans="1:22" s="63" customFormat="1" ht="22.5" x14ac:dyDescent="0.25">
      <c r="A1710" s="101">
        <v>10.69</v>
      </c>
      <c r="B1710" s="102" t="s">
        <v>53</v>
      </c>
      <c r="C1710" s="103">
        <v>27.3</v>
      </c>
      <c r="D1710" s="167" t="s">
        <v>1459</v>
      </c>
      <c r="E1710" s="104" t="s">
        <v>3682</v>
      </c>
      <c r="F1710" s="102" t="s">
        <v>219</v>
      </c>
      <c r="G1710" s="105">
        <v>1</v>
      </c>
      <c r="H1710" s="106"/>
      <c r="I1710" s="107">
        <v>19475.490000000002</v>
      </c>
      <c r="J1710" s="192">
        <f>ROUND($I1710/$G1710*$N$12,2)</f>
        <v>21783.34</v>
      </c>
      <c r="K1710" s="193">
        <f t="shared" si="170"/>
        <v>21783.34</v>
      </c>
      <c r="L1710" s="193"/>
      <c r="M1710" s="138"/>
      <c r="N1710" s="138"/>
      <c r="O1710" s="138"/>
      <c r="S1710" s="72"/>
      <c r="T1710" s="72"/>
      <c r="U1710" s="72"/>
      <c r="V1710" s="72"/>
    </row>
    <row r="1711" spans="1:22" s="63" customFormat="1" ht="22.5" x14ac:dyDescent="0.25">
      <c r="A1711" s="101">
        <v>10.7</v>
      </c>
      <c r="B1711" s="102" t="s">
        <v>53</v>
      </c>
      <c r="C1711" s="103">
        <v>27.4</v>
      </c>
      <c r="D1711" s="167" t="s">
        <v>1460</v>
      </c>
      <c r="E1711" s="104" t="s">
        <v>3683</v>
      </c>
      <c r="F1711" s="102" t="s">
        <v>219</v>
      </c>
      <c r="G1711" s="105">
        <v>1</v>
      </c>
      <c r="H1711" s="106"/>
      <c r="I1711" s="107">
        <v>13439.13</v>
      </c>
      <c r="J1711" s="192">
        <f>ROUND($I1711/$G1711*$N$12,2)</f>
        <v>15031.67</v>
      </c>
      <c r="K1711" s="193">
        <f t="shared" si="170"/>
        <v>15031.67</v>
      </c>
      <c r="L1711" s="193"/>
      <c r="M1711" s="138"/>
      <c r="N1711" s="138"/>
      <c r="O1711" s="138"/>
      <c r="S1711" s="72"/>
      <c r="T1711" s="72"/>
      <c r="U1711" s="72"/>
      <c r="V1711" s="72"/>
    </row>
    <row r="1712" spans="1:22" s="63" customFormat="1" ht="22.5" x14ac:dyDescent="0.25">
      <c r="A1712" s="101">
        <v>10.71</v>
      </c>
      <c r="B1712" s="102" t="s">
        <v>53</v>
      </c>
      <c r="C1712" s="103">
        <v>27.5</v>
      </c>
      <c r="D1712" s="167" t="s">
        <v>1461</v>
      </c>
      <c r="E1712" s="104" t="s">
        <v>3684</v>
      </c>
      <c r="F1712" s="102" t="s">
        <v>219</v>
      </c>
      <c r="G1712" s="105">
        <v>1</v>
      </c>
      <c r="H1712" s="106"/>
      <c r="I1712" s="107">
        <v>10273.959999999999</v>
      </c>
      <c r="J1712" s="192">
        <f>ROUND($I1712/$G1712*$N$12,2)</f>
        <v>11491.42</v>
      </c>
      <c r="K1712" s="193">
        <f t="shared" si="170"/>
        <v>11491.42</v>
      </c>
      <c r="L1712" s="193"/>
      <c r="M1712" s="138"/>
      <c r="N1712" s="138"/>
      <c r="O1712" s="138"/>
      <c r="S1712" s="72"/>
      <c r="T1712" s="72"/>
      <c r="U1712" s="72"/>
      <c r="V1712" s="72"/>
    </row>
    <row r="1713" spans="1:22" s="63" customFormat="1" ht="22.5" x14ac:dyDescent="0.25">
      <c r="A1713" s="87">
        <v>10.72</v>
      </c>
      <c r="B1713" s="81" t="s">
        <v>53</v>
      </c>
      <c r="C1713" s="82">
        <v>28</v>
      </c>
      <c r="D1713" s="131" t="s">
        <v>1462</v>
      </c>
      <c r="E1713" s="83" t="s">
        <v>1463</v>
      </c>
      <c r="F1713" s="81" t="s">
        <v>219</v>
      </c>
      <c r="G1713" s="82">
        <v>5</v>
      </c>
      <c r="H1713" s="85"/>
      <c r="I1713" s="86">
        <v>27562.11</v>
      </c>
      <c r="J1713" s="185">
        <f>ROUND($I1713/$G1713*$N$11,2)</f>
        <v>6276.44</v>
      </c>
      <c r="K1713" s="189">
        <f t="shared" si="170"/>
        <v>31382.2</v>
      </c>
      <c r="L1713" s="189"/>
      <c r="M1713" s="138"/>
      <c r="N1713" s="138"/>
      <c r="O1713" s="138"/>
      <c r="S1713" s="72"/>
      <c r="T1713" s="72"/>
      <c r="U1713" s="72"/>
      <c r="V1713" s="72"/>
    </row>
    <row r="1714" spans="1:22" s="63" customFormat="1" ht="22.5" x14ac:dyDescent="0.25">
      <c r="A1714" s="101">
        <v>10.73</v>
      </c>
      <c r="B1714" s="102" t="s">
        <v>53</v>
      </c>
      <c r="C1714" s="103">
        <v>28.1</v>
      </c>
      <c r="D1714" s="167" t="s">
        <v>1464</v>
      </c>
      <c r="E1714" s="104" t="s">
        <v>3685</v>
      </c>
      <c r="F1714" s="102" t="s">
        <v>219</v>
      </c>
      <c r="G1714" s="105">
        <v>1</v>
      </c>
      <c r="H1714" s="106"/>
      <c r="I1714" s="107">
        <v>30967.65</v>
      </c>
      <c r="J1714" s="192">
        <f>ROUND($I1714/$G1714*$N$12,2)</f>
        <v>34637.32</v>
      </c>
      <c r="K1714" s="193">
        <f t="shared" si="170"/>
        <v>34637.32</v>
      </c>
      <c r="L1714" s="193"/>
      <c r="M1714" s="138"/>
      <c r="N1714" s="138"/>
      <c r="O1714" s="138"/>
      <c r="S1714" s="72"/>
      <c r="T1714" s="72"/>
      <c r="U1714" s="72"/>
      <c r="V1714" s="72"/>
    </row>
    <row r="1715" spans="1:22" s="63" customFormat="1" ht="22.5" x14ac:dyDescent="0.25">
      <c r="A1715" s="101">
        <v>10.74</v>
      </c>
      <c r="B1715" s="102" t="s">
        <v>53</v>
      </c>
      <c r="C1715" s="103">
        <v>28.2</v>
      </c>
      <c r="D1715" s="167" t="s">
        <v>1465</v>
      </c>
      <c r="E1715" s="104" t="s">
        <v>3686</v>
      </c>
      <c r="F1715" s="102" t="s">
        <v>219</v>
      </c>
      <c r="G1715" s="105">
        <v>1</v>
      </c>
      <c r="H1715" s="106"/>
      <c r="I1715" s="107">
        <v>30967.65</v>
      </c>
      <c r="J1715" s="192">
        <f>ROUND($I1715/$G1715*$N$12,2)</f>
        <v>34637.32</v>
      </c>
      <c r="K1715" s="193">
        <f t="shared" si="170"/>
        <v>34637.32</v>
      </c>
      <c r="L1715" s="193"/>
      <c r="M1715" s="138"/>
      <c r="N1715" s="138"/>
      <c r="O1715" s="138"/>
      <c r="S1715" s="72"/>
      <c r="T1715" s="72"/>
      <c r="U1715" s="72"/>
      <c r="V1715" s="72"/>
    </row>
    <row r="1716" spans="1:22" s="63" customFormat="1" ht="22.5" x14ac:dyDescent="0.25">
      <c r="A1716" s="101">
        <v>10.75</v>
      </c>
      <c r="B1716" s="102" t="s">
        <v>53</v>
      </c>
      <c r="C1716" s="103">
        <v>28.3</v>
      </c>
      <c r="D1716" s="167" t="s">
        <v>1466</v>
      </c>
      <c r="E1716" s="104" t="s">
        <v>3687</v>
      </c>
      <c r="F1716" s="102" t="s">
        <v>219</v>
      </c>
      <c r="G1716" s="105">
        <v>1</v>
      </c>
      <c r="H1716" s="106"/>
      <c r="I1716" s="107">
        <v>75719.64</v>
      </c>
      <c r="J1716" s="192">
        <f>ROUND($I1716/$G1716*$N$12,2)</f>
        <v>84692.42</v>
      </c>
      <c r="K1716" s="193">
        <f t="shared" si="170"/>
        <v>84692.42</v>
      </c>
      <c r="L1716" s="193"/>
      <c r="M1716" s="138"/>
      <c r="N1716" s="138"/>
      <c r="O1716" s="138"/>
      <c r="S1716" s="72"/>
      <c r="T1716" s="72"/>
      <c r="U1716" s="72"/>
      <c r="V1716" s="72"/>
    </row>
    <row r="1717" spans="1:22" s="63" customFormat="1" ht="22.5" x14ac:dyDescent="0.25">
      <c r="A1717" s="101">
        <v>10.76</v>
      </c>
      <c r="B1717" s="102" t="s">
        <v>53</v>
      </c>
      <c r="C1717" s="103">
        <v>28.4</v>
      </c>
      <c r="D1717" s="167" t="s">
        <v>1467</v>
      </c>
      <c r="E1717" s="104" t="s">
        <v>3688</v>
      </c>
      <c r="F1717" s="102" t="s">
        <v>219</v>
      </c>
      <c r="G1717" s="105">
        <v>1</v>
      </c>
      <c r="H1717" s="106"/>
      <c r="I1717" s="107">
        <v>34838.61</v>
      </c>
      <c r="J1717" s="192">
        <f>ROUND($I1717/$G1717*$N$12,2)</f>
        <v>38966.99</v>
      </c>
      <c r="K1717" s="193">
        <f t="shared" si="170"/>
        <v>38966.99</v>
      </c>
      <c r="L1717" s="193"/>
      <c r="M1717" s="138"/>
      <c r="N1717" s="138"/>
      <c r="O1717" s="138"/>
      <c r="S1717" s="72"/>
      <c r="T1717" s="72"/>
      <c r="U1717" s="72"/>
      <c r="V1717" s="72"/>
    </row>
    <row r="1718" spans="1:22" s="63" customFormat="1" ht="22.5" x14ac:dyDescent="0.25">
      <c r="A1718" s="101">
        <v>10.77</v>
      </c>
      <c r="B1718" s="102" t="s">
        <v>53</v>
      </c>
      <c r="C1718" s="103">
        <v>28.5</v>
      </c>
      <c r="D1718" s="167" t="s">
        <v>1468</v>
      </c>
      <c r="E1718" s="104" t="s">
        <v>3689</v>
      </c>
      <c r="F1718" s="102" t="s">
        <v>219</v>
      </c>
      <c r="G1718" s="105">
        <v>1</v>
      </c>
      <c r="H1718" s="106"/>
      <c r="I1718" s="107">
        <v>19427.669999999998</v>
      </c>
      <c r="J1718" s="192">
        <f>ROUND($I1718/$G1718*$N$12,2)</f>
        <v>21729.85</v>
      </c>
      <c r="K1718" s="193">
        <f t="shared" si="170"/>
        <v>21729.85</v>
      </c>
      <c r="L1718" s="193"/>
      <c r="M1718" s="138"/>
      <c r="N1718" s="138"/>
      <c r="O1718" s="138"/>
      <c r="S1718" s="72"/>
      <c r="T1718" s="72"/>
      <c r="U1718" s="72"/>
      <c r="V1718" s="72"/>
    </row>
    <row r="1719" spans="1:22" s="63" customFormat="1" ht="22.5" x14ac:dyDescent="0.25">
      <c r="A1719" s="87">
        <v>10.78</v>
      </c>
      <c r="B1719" s="81" t="s">
        <v>53</v>
      </c>
      <c r="C1719" s="82">
        <v>29</v>
      </c>
      <c r="D1719" s="131" t="s">
        <v>1469</v>
      </c>
      <c r="E1719" s="83" t="s">
        <v>1470</v>
      </c>
      <c r="F1719" s="81" t="s">
        <v>219</v>
      </c>
      <c r="G1719" s="82">
        <v>4</v>
      </c>
      <c r="H1719" s="85"/>
      <c r="I1719" s="86">
        <v>15930.77</v>
      </c>
      <c r="J1719" s="185">
        <f>ROUND($I1719/$G1719*$N$11,2)</f>
        <v>4534.6899999999996</v>
      </c>
      <c r="K1719" s="189">
        <f t="shared" si="170"/>
        <v>18138.759999999998</v>
      </c>
      <c r="L1719" s="189"/>
      <c r="M1719" s="138"/>
      <c r="N1719" s="138"/>
      <c r="O1719" s="138"/>
      <c r="S1719" s="72"/>
      <c r="T1719" s="72"/>
      <c r="U1719" s="72"/>
      <c r="V1719" s="72"/>
    </row>
    <row r="1720" spans="1:22" s="63" customFormat="1" ht="22.5" x14ac:dyDescent="0.25">
      <c r="A1720" s="101">
        <v>10.79</v>
      </c>
      <c r="B1720" s="102" t="s">
        <v>53</v>
      </c>
      <c r="C1720" s="103">
        <v>29.1</v>
      </c>
      <c r="D1720" s="167" t="s">
        <v>1471</v>
      </c>
      <c r="E1720" s="104" t="s">
        <v>3690</v>
      </c>
      <c r="F1720" s="102" t="s">
        <v>219</v>
      </c>
      <c r="G1720" s="105">
        <v>1</v>
      </c>
      <c r="H1720" s="106"/>
      <c r="I1720" s="107">
        <v>32344.01</v>
      </c>
      <c r="J1720" s="192">
        <f>ROUND($I1720/$G1720*$N$12,2)</f>
        <v>36176.78</v>
      </c>
      <c r="K1720" s="193">
        <f t="shared" si="170"/>
        <v>36176.78</v>
      </c>
      <c r="L1720" s="193"/>
      <c r="M1720" s="138"/>
      <c r="N1720" s="138"/>
      <c r="O1720" s="138"/>
      <c r="S1720" s="72"/>
      <c r="T1720" s="72"/>
      <c r="U1720" s="72"/>
      <c r="V1720" s="72"/>
    </row>
    <row r="1721" spans="1:22" s="63" customFormat="1" ht="22.5" x14ac:dyDescent="0.25">
      <c r="A1721" s="101">
        <v>10.8</v>
      </c>
      <c r="B1721" s="102" t="s">
        <v>53</v>
      </c>
      <c r="C1721" s="103">
        <v>29.2</v>
      </c>
      <c r="D1721" s="167" t="s">
        <v>1472</v>
      </c>
      <c r="E1721" s="104" t="s">
        <v>3691</v>
      </c>
      <c r="F1721" s="102" t="s">
        <v>219</v>
      </c>
      <c r="G1721" s="105">
        <v>1</v>
      </c>
      <c r="H1721" s="106"/>
      <c r="I1721" s="107">
        <v>12153.1</v>
      </c>
      <c r="J1721" s="192">
        <f>ROUND($I1721/$G1721*$N$12,2)</f>
        <v>13593.24</v>
      </c>
      <c r="K1721" s="193">
        <f t="shared" si="170"/>
        <v>13593.24</v>
      </c>
      <c r="L1721" s="193"/>
      <c r="M1721" s="138"/>
      <c r="N1721" s="138"/>
      <c r="O1721" s="138"/>
      <c r="S1721" s="72"/>
      <c r="T1721" s="72"/>
      <c r="U1721" s="72"/>
      <c r="V1721" s="72"/>
    </row>
    <row r="1722" spans="1:22" s="63" customFormat="1" ht="22.5" x14ac:dyDescent="0.25">
      <c r="A1722" s="101">
        <v>10.81</v>
      </c>
      <c r="B1722" s="102" t="s">
        <v>53</v>
      </c>
      <c r="C1722" s="103">
        <v>29.3</v>
      </c>
      <c r="D1722" s="167" t="s">
        <v>1473</v>
      </c>
      <c r="E1722" s="104" t="s">
        <v>3692</v>
      </c>
      <c r="F1722" s="102" t="s">
        <v>219</v>
      </c>
      <c r="G1722" s="105">
        <v>1</v>
      </c>
      <c r="H1722" s="106"/>
      <c r="I1722" s="107">
        <v>9776.93</v>
      </c>
      <c r="J1722" s="192">
        <f>ROUND($I1722/$G1722*$N$12,2)</f>
        <v>10935.5</v>
      </c>
      <c r="K1722" s="193">
        <f t="shared" si="170"/>
        <v>10935.5</v>
      </c>
      <c r="L1722" s="193"/>
      <c r="M1722" s="138"/>
      <c r="N1722" s="138"/>
      <c r="O1722" s="138"/>
      <c r="S1722" s="72"/>
      <c r="T1722" s="72"/>
      <c r="U1722" s="72"/>
      <c r="V1722" s="72"/>
    </row>
    <row r="1723" spans="1:22" s="63" customFormat="1" ht="22.5" x14ac:dyDescent="0.25">
      <c r="A1723" s="101">
        <v>10.82</v>
      </c>
      <c r="B1723" s="102" t="s">
        <v>53</v>
      </c>
      <c r="C1723" s="103">
        <v>29.4</v>
      </c>
      <c r="D1723" s="167" t="s">
        <v>1474</v>
      </c>
      <c r="E1723" s="104" t="s">
        <v>3693</v>
      </c>
      <c r="F1723" s="102" t="s">
        <v>219</v>
      </c>
      <c r="G1723" s="105">
        <v>1</v>
      </c>
      <c r="H1723" s="106"/>
      <c r="I1723" s="107">
        <v>47292.81</v>
      </c>
      <c r="J1723" s="192">
        <f>ROUND($I1723/$G1723*$N$12,2)</f>
        <v>52897.01</v>
      </c>
      <c r="K1723" s="193">
        <f t="shared" si="170"/>
        <v>52897.01</v>
      </c>
      <c r="L1723" s="193"/>
      <c r="M1723" s="138"/>
      <c r="N1723" s="138"/>
      <c r="O1723" s="138"/>
      <c r="S1723" s="72"/>
      <c r="T1723" s="72"/>
      <c r="U1723" s="72"/>
      <c r="V1723" s="72"/>
    </row>
    <row r="1724" spans="1:22" s="63" customFormat="1" ht="22.5" x14ac:dyDescent="0.25">
      <c r="A1724" s="87">
        <v>10.83</v>
      </c>
      <c r="B1724" s="81" t="s">
        <v>53</v>
      </c>
      <c r="C1724" s="82">
        <v>30</v>
      </c>
      <c r="D1724" s="131" t="s">
        <v>1475</v>
      </c>
      <c r="E1724" s="83" t="s">
        <v>1476</v>
      </c>
      <c r="F1724" s="81" t="s">
        <v>219</v>
      </c>
      <c r="G1724" s="82">
        <v>2</v>
      </c>
      <c r="H1724" s="85"/>
      <c r="I1724" s="86">
        <v>19727.400000000001</v>
      </c>
      <c r="J1724" s="185">
        <f>ROUND($I1724/$G1724*$N$11,2)</f>
        <v>11230.81</v>
      </c>
      <c r="K1724" s="189">
        <f t="shared" si="170"/>
        <v>22461.62</v>
      </c>
      <c r="L1724" s="189"/>
      <c r="M1724" s="138"/>
      <c r="N1724" s="138"/>
      <c r="O1724" s="138"/>
      <c r="S1724" s="72"/>
      <c r="T1724" s="72"/>
      <c r="U1724" s="72"/>
      <c r="V1724" s="72"/>
    </row>
    <row r="1725" spans="1:22" s="63" customFormat="1" ht="22.5" x14ac:dyDescent="0.25">
      <c r="A1725" s="101">
        <v>10.84</v>
      </c>
      <c r="B1725" s="102" t="s">
        <v>53</v>
      </c>
      <c r="C1725" s="103">
        <v>30.1</v>
      </c>
      <c r="D1725" s="167" t="s">
        <v>1477</v>
      </c>
      <c r="E1725" s="104" t="s">
        <v>3694</v>
      </c>
      <c r="F1725" s="102" t="s">
        <v>219</v>
      </c>
      <c r="G1725" s="105">
        <v>1</v>
      </c>
      <c r="H1725" s="106"/>
      <c r="I1725" s="107">
        <v>25119.7</v>
      </c>
      <c r="J1725" s="192">
        <f>ROUND($I1725/$G1725*$N$12,2)</f>
        <v>28096.38</v>
      </c>
      <c r="K1725" s="193">
        <f t="shared" si="170"/>
        <v>28096.38</v>
      </c>
      <c r="L1725" s="193"/>
      <c r="M1725" s="138"/>
      <c r="N1725" s="138"/>
      <c r="O1725" s="138"/>
      <c r="S1725" s="72"/>
      <c r="T1725" s="72"/>
      <c r="U1725" s="72"/>
      <c r="V1725" s="72"/>
    </row>
    <row r="1726" spans="1:22" s="63" customFormat="1" ht="22.5" x14ac:dyDescent="0.25">
      <c r="A1726" s="101">
        <v>10.85</v>
      </c>
      <c r="B1726" s="102" t="s">
        <v>53</v>
      </c>
      <c r="C1726" s="103">
        <v>30.2</v>
      </c>
      <c r="D1726" s="167" t="s">
        <v>1478</v>
      </c>
      <c r="E1726" s="104" t="s">
        <v>3695</v>
      </c>
      <c r="F1726" s="102" t="s">
        <v>219</v>
      </c>
      <c r="G1726" s="105">
        <v>1</v>
      </c>
      <c r="H1726" s="106"/>
      <c r="I1726" s="107">
        <v>55636.34</v>
      </c>
      <c r="J1726" s="192">
        <f>ROUND($I1726/$G1726*$N$12,2)</f>
        <v>62229.25</v>
      </c>
      <c r="K1726" s="193">
        <f t="shared" si="170"/>
        <v>62229.25</v>
      </c>
      <c r="L1726" s="193"/>
      <c r="M1726" s="138"/>
      <c r="N1726" s="138"/>
      <c r="O1726" s="138"/>
      <c r="S1726" s="72"/>
      <c r="T1726" s="72"/>
      <c r="U1726" s="72"/>
      <c r="V1726" s="72"/>
    </row>
    <row r="1727" spans="1:22" s="63" customFormat="1" ht="15" x14ac:dyDescent="0.25">
      <c r="A1727" s="194">
        <v>11</v>
      </c>
      <c r="B1727" s="418" t="s">
        <v>1479</v>
      </c>
      <c r="C1727" s="418"/>
      <c r="D1727" s="418"/>
      <c r="E1727" s="195" t="s">
        <v>156</v>
      </c>
      <c r="F1727" s="196"/>
      <c r="G1727" s="194">
        <v>1</v>
      </c>
      <c r="H1727" s="197">
        <v>9019062.0399999991</v>
      </c>
      <c r="I1727" s="355">
        <f>SUM(I1729:I1865)</f>
        <v>9019062.0599999968</v>
      </c>
      <c r="J1727" s="200"/>
      <c r="K1727" s="198">
        <f>SUM(K1729:K1865)</f>
        <v>10269101.640000002</v>
      </c>
      <c r="L1727" s="198"/>
      <c r="M1727" s="207"/>
      <c r="N1727" s="209"/>
      <c r="O1727" s="138"/>
      <c r="S1727" s="72"/>
      <c r="T1727" s="72"/>
      <c r="U1727" s="72"/>
      <c r="V1727" s="72"/>
    </row>
    <row r="1728" spans="1:22" s="63" customFormat="1" ht="15" x14ac:dyDescent="0.25">
      <c r="A1728" s="216"/>
      <c r="B1728" s="217"/>
      <c r="C1728" s="217"/>
      <c r="D1728" s="217"/>
      <c r="E1728" s="218" t="s">
        <v>3312</v>
      </c>
      <c r="F1728" s="219"/>
      <c r="G1728" s="216"/>
      <c r="H1728" s="220"/>
      <c r="I1728" s="221"/>
      <c r="J1728" s="244"/>
      <c r="K1728" s="221"/>
      <c r="L1728" s="221"/>
      <c r="M1728" s="207"/>
      <c r="N1728" s="209"/>
      <c r="O1728" s="138"/>
      <c r="S1728" s="72"/>
      <c r="T1728" s="72"/>
      <c r="U1728" s="72"/>
      <c r="V1728" s="72"/>
    </row>
    <row r="1729" spans="1:22" s="63" customFormat="1" ht="15" x14ac:dyDescent="0.25">
      <c r="A1729" s="80">
        <v>11.1</v>
      </c>
      <c r="B1729" s="81" t="s">
        <v>55</v>
      </c>
      <c r="C1729" s="82">
        <v>1</v>
      </c>
      <c r="D1729" s="131" t="s">
        <v>1480</v>
      </c>
      <c r="E1729" s="83" t="s">
        <v>1481</v>
      </c>
      <c r="F1729" s="81" t="s">
        <v>1482</v>
      </c>
      <c r="G1729" s="89">
        <v>2.5035099999999999</v>
      </c>
      <c r="H1729" s="85"/>
      <c r="I1729" s="86">
        <f>215395.98+0.02</f>
        <v>215396</v>
      </c>
      <c r="J1729" s="185">
        <f t="shared" ref="J1729:J1753" si="171">ROUND($I1729/$G1729*$N$11,2)</f>
        <v>97962.42</v>
      </c>
      <c r="K1729" s="189">
        <f t="shared" ref="K1729:K1753" si="172">ROUND(G1729*J1729,2)</f>
        <v>245249.9</v>
      </c>
      <c r="L1729" s="189"/>
      <c r="M1729" s="138"/>
      <c r="N1729" s="138"/>
      <c r="O1729" s="138"/>
      <c r="S1729" s="72"/>
      <c r="T1729" s="72"/>
      <c r="U1729" s="72"/>
      <c r="V1729" s="72"/>
    </row>
    <row r="1730" spans="1:22" s="63" customFormat="1" ht="22.5" x14ac:dyDescent="0.25">
      <c r="A1730" s="80">
        <v>11.2</v>
      </c>
      <c r="B1730" s="81" t="s">
        <v>55</v>
      </c>
      <c r="C1730" s="80">
        <v>1.1000000000000001</v>
      </c>
      <c r="D1730" s="131" t="s">
        <v>1483</v>
      </c>
      <c r="E1730" s="83" t="s">
        <v>1484</v>
      </c>
      <c r="F1730" s="81" t="s">
        <v>566</v>
      </c>
      <c r="G1730" s="90">
        <v>22.281238999999999</v>
      </c>
      <c r="H1730" s="85"/>
      <c r="I1730" s="86">
        <v>1137.71</v>
      </c>
      <c r="J1730" s="185">
        <f t="shared" si="171"/>
        <v>58.14</v>
      </c>
      <c r="K1730" s="189">
        <f t="shared" si="172"/>
        <v>1295.43</v>
      </c>
      <c r="L1730" s="189"/>
      <c r="M1730" s="138"/>
      <c r="N1730" s="138"/>
      <c r="O1730" s="138"/>
      <c r="S1730" s="72"/>
      <c r="T1730" s="72"/>
      <c r="U1730" s="72"/>
      <c r="V1730" s="72"/>
    </row>
    <row r="1731" spans="1:22" s="63" customFormat="1" ht="22.5" x14ac:dyDescent="0.25">
      <c r="A1731" s="80">
        <v>11.3</v>
      </c>
      <c r="B1731" s="81" t="s">
        <v>55</v>
      </c>
      <c r="C1731" s="80">
        <v>1.2</v>
      </c>
      <c r="D1731" s="131" t="s">
        <v>1485</v>
      </c>
      <c r="E1731" s="83" t="s">
        <v>1486</v>
      </c>
      <c r="F1731" s="81" t="s">
        <v>226</v>
      </c>
      <c r="G1731" s="88">
        <v>1.12E-2</v>
      </c>
      <c r="H1731" s="85"/>
      <c r="I1731" s="86">
        <v>1246.04</v>
      </c>
      <c r="J1731" s="185">
        <f t="shared" si="171"/>
        <v>126673.32</v>
      </c>
      <c r="K1731" s="189">
        <f t="shared" si="172"/>
        <v>1418.74</v>
      </c>
      <c r="L1731" s="189"/>
      <c r="M1731" s="138"/>
      <c r="N1731" s="138"/>
      <c r="O1731" s="138"/>
      <c r="S1731" s="72"/>
      <c r="T1731" s="72"/>
      <c r="U1731" s="72"/>
      <c r="V1731" s="72"/>
    </row>
    <row r="1732" spans="1:22" s="63" customFormat="1" ht="22.5" x14ac:dyDescent="0.25">
      <c r="A1732" s="80">
        <v>11.4</v>
      </c>
      <c r="B1732" s="81" t="s">
        <v>55</v>
      </c>
      <c r="C1732" s="80">
        <v>1.3</v>
      </c>
      <c r="D1732" s="131" t="s">
        <v>1487</v>
      </c>
      <c r="E1732" s="83" t="s">
        <v>1488</v>
      </c>
      <c r="F1732" s="81" t="s">
        <v>219</v>
      </c>
      <c r="G1732" s="82">
        <v>5</v>
      </c>
      <c r="H1732" s="85"/>
      <c r="I1732" s="86">
        <v>28593.16</v>
      </c>
      <c r="J1732" s="185">
        <f t="shared" si="171"/>
        <v>6511.23</v>
      </c>
      <c r="K1732" s="189">
        <f t="shared" si="172"/>
        <v>32556.15</v>
      </c>
      <c r="L1732" s="189"/>
      <c r="M1732" s="138"/>
      <c r="N1732" s="138"/>
      <c r="O1732" s="138"/>
      <c r="S1732" s="72"/>
      <c r="T1732" s="72"/>
      <c r="U1732" s="72"/>
      <c r="V1732" s="72"/>
    </row>
    <row r="1733" spans="1:22" s="63" customFormat="1" ht="22.5" x14ac:dyDescent="0.25">
      <c r="A1733" s="80">
        <v>11.5</v>
      </c>
      <c r="B1733" s="81" t="s">
        <v>55</v>
      </c>
      <c r="C1733" s="80">
        <v>1.4</v>
      </c>
      <c r="D1733" s="131" t="s">
        <v>1489</v>
      </c>
      <c r="E1733" s="83" t="s">
        <v>1490</v>
      </c>
      <c r="F1733" s="81" t="s">
        <v>219</v>
      </c>
      <c r="G1733" s="82">
        <v>1</v>
      </c>
      <c r="H1733" s="85"/>
      <c r="I1733" s="86">
        <v>6124.62</v>
      </c>
      <c r="J1733" s="185">
        <f t="shared" si="171"/>
        <v>6973.49</v>
      </c>
      <c r="K1733" s="189">
        <f t="shared" si="172"/>
        <v>6973.49</v>
      </c>
      <c r="L1733" s="189"/>
      <c r="M1733" s="138"/>
      <c r="N1733" s="138"/>
      <c r="O1733" s="138"/>
      <c r="S1733" s="72"/>
      <c r="T1733" s="72"/>
      <c r="U1733" s="72"/>
      <c r="V1733" s="72"/>
    </row>
    <row r="1734" spans="1:22" s="63" customFormat="1" ht="22.5" x14ac:dyDescent="0.25">
      <c r="A1734" s="80">
        <v>11.6</v>
      </c>
      <c r="B1734" s="81" t="s">
        <v>55</v>
      </c>
      <c r="C1734" s="80">
        <v>1.5</v>
      </c>
      <c r="D1734" s="131" t="s">
        <v>1491</v>
      </c>
      <c r="E1734" s="83" t="s">
        <v>1492</v>
      </c>
      <c r="F1734" s="81" t="s">
        <v>219</v>
      </c>
      <c r="G1734" s="82">
        <v>12</v>
      </c>
      <c r="H1734" s="85"/>
      <c r="I1734" s="86">
        <v>202514.08</v>
      </c>
      <c r="J1734" s="185">
        <f t="shared" si="171"/>
        <v>19215.21</v>
      </c>
      <c r="K1734" s="189">
        <f t="shared" si="172"/>
        <v>230582.52</v>
      </c>
      <c r="L1734" s="189"/>
      <c r="M1734" s="138"/>
      <c r="N1734" s="138"/>
      <c r="O1734" s="138"/>
      <c r="S1734" s="72"/>
      <c r="T1734" s="72"/>
      <c r="U1734" s="72"/>
      <c r="V1734" s="72"/>
    </row>
    <row r="1735" spans="1:22" s="63" customFormat="1" ht="22.5" x14ac:dyDescent="0.25">
      <c r="A1735" s="80">
        <v>11.7</v>
      </c>
      <c r="B1735" s="81" t="s">
        <v>55</v>
      </c>
      <c r="C1735" s="80">
        <v>1.6</v>
      </c>
      <c r="D1735" s="131" t="s">
        <v>1493</v>
      </c>
      <c r="E1735" s="83" t="s">
        <v>1494</v>
      </c>
      <c r="F1735" s="81" t="s">
        <v>219</v>
      </c>
      <c r="G1735" s="82">
        <v>4</v>
      </c>
      <c r="H1735" s="85"/>
      <c r="I1735" s="86">
        <v>74479.759999999995</v>
      </c>
      <c r="J1735" s="185">
        <f t="shared" si="171"/>
        <v>21200.66</v>
      </c>
      <c r="K1735" s="189">
        <f t="shared" si="172"/>
        <v>84802.64</v>
      </c>
      <c r="L1735" s="189"/>
      <c r="M1735" s="138"/>
      <c r="N1735" s="138"/>
      <c r="O1735" s="138"/>
      <c r="S1735" s="72"/>
      <c r="T1735" s="72"/>
      <c r="U1735" s="72"/>
      <c r="V1735" s="72"/>
    </row>
    <row r="1736" spans="1:22" s="63" customFormat="1" ht="22.5" x14ac:dyDescent="0.25">
      <c r="A1736" s="80">
        <v>11.8</v>
      </c>
      <c r="B1736" s="81" t="s">
        <v>55</v>
      </c>
      <c r="C1736" s="80">
        <v>1.7</v>
      </c>
      <c r="D1736" s="131" t="s">
        <v>1495</v>
      </c>
      <c r="E1736" s="83" t="s">
        <v>1496</v>
      </c>
      <c r="F1736" s="81" t="s">
        <v>219</v>
      </c>
      <c r="G1736" s="82">
        <v>11</v>
      </c>
      <c r="H1736" s="85"/>
      <c r="I1736" s="86">
        <v>115514.41</v>
      </c>
      <c r="J1736" s="185">
        <f t="shared" si="171"/>
        <v>11956.79</v>
      </c>
      <c r="K1736" s="189">
        <f t="shared" si="172"/>
        <v>131524.69</v>
      </c>
      <c r="L1736" s="189"/>
      <c r="M1736" s="138"/>
      <c r="N1736" s="138"/>
      <c r="O1736" s="138"/>
      <c r="S1736" s="72"/>
      <c r="T1736" s="72"/>
      <c r="U1736" s="72"/>
      <c r="V1736" s="72"/>
    </row>
    <row r="1737" spans="1:22" s="63" customFormat="1" ht="22.5" x14ac:dyDescent="0.25">
      <c r="A1737" s="80">
        <v>11.9</v>
      </c>
      <c r="B1737" s="81" t="s">
        <v>55</v>
      </c>
      <c r="C1737" s="80">
        <v>1.8</v>
      </c>
      <c r="D1737" s="131" t="s">
        <v>1497</v>
      </c>
      <c r="E1737" s="83" t="s">
        <v>1498</v>
      </c>
      <c r="F1737" s="81" t="s">
        <v>219</v>
      </c>
      <c r="G1737" s="82">
        <v>1</v>
      </c>
      <c r="H1737" s="85"/>
      <c r="I1737" s="86">
        <v>12837.99</v>
      </c>
      <c r="J1737" s="185">
        <f t="shared" si="171"/>
        <v>14617.34</v>
      </c>
      <c r="K1737" s="189">
        <f t="shared" si="172"/>
        <v>14617.34</v>
      </c>
      <c r="L1737" s="189"/>
      <c r="M1737" s="138"/>
      <c r="N1737" s="138"/>
      <c r="O1737" s="138"/>
      <c r="S1737" s="72"/>
      <c r="T1737" s="72"/>
      <c r="U1737" s="72"/>
      <c r="V1737" s="72"/>
    </row>
    <row r="1738" spans="1:22" s="63" customFormat="1" ht="22.5" x14ac:dyDescent="0.25">
      <c r="A1738" s="87">
        <v>11.1</v>
      </c>
      <c r="B1738" s="81" t="s">
        <v>55</v>
      </c>
      <c r="C1738" s="80">
        <v>1.9</v>
      </c>
      <c r="D1738" s="131" t="s">
        <v>1499</v>
      </c>
      <c r="E1738" s="83" t="s">
        <v>1500</v>
      </c>
      <c r="F1738" s="81" t="s">
        <v>219</v>
      </c>
      <c r="G1738" s="82">
        <v>1</v>
      </c>
      <c r="H1738" s="85"/>
      <c r="I1738" s="86">
        <v>14004.12</v>
      </c>
      <c r="J1738" s="185">
        <f t="shared" si="171"/>
        <v>15945.09</v>
      </c>
      <c r="K1738" s="189">
        <f t="shared" si="172"/>
        <v>15945.09</v>
      </c>
      <c r="L1738" s="189"/>
      <c r="M1738" s="138"/>
      <c r="N1738" s="138"/>
      <c r="O1738" s="138"/>
      <c r="S1738" s="72"/>
      <c r="T1738" s="72"/>
      <c r="U1738" s="72"/>
      <c r="V1738" s="72"/>
    </row>
    <row r="1739" spans="1:22" s="63" customFormat="1" ht="22.5" x14ac:dyDescent="0.25">
      <c r="A1739" s="87">
        <v>11.11</v>
      </c>
      <c r="B1739" s="81" t="s">
        <v>55</v>
      </c>
      <c r="C1739" s="87">
        <v>1.1000000000000001</v>
      </c>
      <c r="D1739" s="131" t="s">
        <v>1501</v>
      </c>
      <c r="E1739" s="83" t="s">
        <v>1502</v>
      </c>
      <c r="F1739" s="81" t="s">
        <v>219</v>
      </c>
      <c r="G1739" s="82">
        <v>3</v>
      </c>
      <c r="H1739" s="85"/>
      <c r="I1739" s="86">
        <v>45512.04</v>
      </c>
      <c r="J1739" s="185">
        <f t="shared" si="171"/>
        <v>17273.34</v>
      </c>
      <c r="K1739" s="189">
        <f t="shared" si="172"/>
        <v>51820.02</v>
      </c>
      <c r="L1739" s="189"/>
      <c r="M1739" s="138"/>
      <c r="N1739" s="138"/>
      <c r="O1739" s="138"/>
      <c r="S1739" s="72"/>
      <c r="T1739" s="72"/>
      <c r="U1739" s="72"/>
      <c r="V1739" s="72"/>
    </row>
    <row r="1740" spans="1:22" s="63" customFormat="1" ht="22.5" x14ac:dyDescent="0.25">
      <c r="A1740" s="87">
        <v>11.12</v>
      </c>
      <c r="B1740" s="81" t="s">
        <v>55</v>
      </c>
      <c r="C1740" s="87">
        <v>1.1100000000000001</v>
      </c>
      <c r="D1740" s="131" t="s">
        <v>1503</v>
      </c>
      <c r="E1740" s="83" t="s">
        <v>1504</v>
      </c>
      <c r="F1740" s="81" t="s">
        <v>219</v>
      </c>
      <c r="G1740" s="82">
        <v>1</v>
      </c>
      <c r="H1740" s="85"/>
      <c r="I1740" s="86">
        <v>16336.98</v>
      </c>
      <c r="J1740" s="185">
        <f t="shared" si="171"/>
        <v>18601.29</v>
      </c>
      <c r="K1740" s="189">
        <f t="shared" si="172"/>
        <v>18601.29</v>
      </c>
      <c r="L1740" s="189"/>
      <c r="M1740" s="138"/>
      <c r="N1740" s="138"/>
      <c r="O1740" s="138"/>
      <c r="S1740" s="72"/>
      <c r="T1740" s="72"/>
      <c r="U1740" s="72"/>
      <c r="V1740" s="72"/>
    </row>
    <row r="1741" spans="1:22" s="63" customFormat="1" ht="22.5" x14ac:dyDescent="0.25">
      <c r="A1741" s="87">
        <v>11.13</v>
      </c>
      <c r="B1741" s="81" t="s">
        <v>55</v>
      </c>
      <c r="C1741" s="87">
        <v>1.1200000000000001</v>
      </c>
      <c r="D1741" s="131" t="s">
        <v>1505</v>
      </c>
      <c r="E1741" s="83" t="s">
        <v>1506</v>
      </c>
      <c r="F1741" s="81" t="s">
        <v>219</v>
      </c>
      <c r="G1741" s="82">
        <v>2</v>
      </c>
      <c r="H1741" s="85"/>
      <c r="I1741" s="86">
        <v>35006.74</v>
      </c>
      <c r="J1741" s="185">
        <f t="shared" si="171"/>
        <v>19929.34</v>
      </c>
      <c r="K1741" s="189">
        <f t="shared" si="172"/>
        <v>39858.68</v>
      </c>
      <c r="L1741" s="189"/>
      <c r="M1741" s="138"/>
      <c r="N1741" s="138"/>
      <c r="O1741" s="138"/>
      <c r="S1741" s="72"/>
      <c r="T1741" s="72"/>
      <c r="U1741" s="72"/>
      <c r="V1741" s="72"/>
    </row>
    <row r="1742" spans="1:22" s="63" customFormat="1" ht="22.5" x14ac:dyDescent="0.25">
      <c r="A1742" s="87">
        <v>11.14</v>
      </c>
      <c r="B1742" s="81" t="s">
        <v>55</v>
      </c>
      <c r="C1742" s="87">
        <v>1.1299999999999999</v>
      </c>
      <c r="D1742" s="131" t="s">
        <v>1507</v>
      </c>
      <c r="E1742" s="83" t="s">
        <v>1508</v>
      </c>
      <c r="F1742" s="81" t="s">
        <v>219</v>
      </c>
      <c r="G1742" s="82">
        <v>1</v>
      </c>
      <c r="H1742" s="85"/>
      <c r="I1742" s="86">
        <v>18669.759999999998</v>
      </c>
      <c r="J1742" s="185">
        <f t="shared" si="171"/>
        <v>21257.39</v>
      </c>
      <c r="K1742" s="189">
        <f t="shared" si="172"/>
        <v>21257.39</v>
      </c>
      <c r="L1742" s="189"/>
      <c r="M1742" s="138"/>
      <c r="N1742" s="138"/>
      <c r="O1742" s="138"/>
      <c r="S1742" s="72"/>
      <c r="T1742" s="72"/>
      <c r="U1742" s="72"/>
      <c r="V1742" s="72"/>
    </row>
    <row r="1743" spans="1:22" s="63" customFormat="1" ht="22.5" x14ac:dyDescent="0.25">
      <c r="A1743" s="87">
        <v>11.15</v>
      </c>
      <c r="B1743" s="81" t="s">
        <v>55</v>
      </c>
      <c r="C1743" s="87">
        <v>1.1399999999999999</v>
      </c>
      <c r="D1743" s="131" t="s">
        <v>1495</v>
      </c>
      <c r="E1743" s="83" t="s">
        <v>1496</v>
      </c>
      <c r="F1743" s="81" t="s">
        <v>219</v>
      </c>
      <c r="G1743" s="82">
        <v>2</v>
      </c>
      <c r="H1743" s="85"/>
      <c r="I1743" s="86">
        <v>21002.62</v>
      </c>
      <c r="J1743" s="185">
        <f t="shared" si="171"/>
        <v>11956.79</v>
      </c>
      <c r="K1743" s="189">
        <f t="shared" si="172"/>
        <v>23913.58</v>
      </c>
      <c r="L1743" s="189"/>
      <c r="M1743" s="138"/>
      <c r="N1743" s="138"/>
      <c r="O1743" s="138"/>
      <c r="S1743" s="72"/>
      <c r="T1743" s="72"/>
      <c r="U1743" s="72"/>
      <c r="V1743" s="72"/>
    </row>
    <row r="1744" spans="1:22" s="63" customFormat="1" ht="22.5" x14ac:dyDescent="0.25">
      <c r="A1744" s="87">
        <v>11.16</v>
      </c>
      <c r="B1744" s="81" t="s">
        <v>55</v>
      </c>
      <c r="C1744" s="87">
        <v>1.1499999999999999</v>
      </c>
      <c r="D1744" s="131" t="s">
        <v>1509</v>
      </c>
      <c r="E1744" s="83" t="s">
        <v>1510</v>
      </c>
      <c r="F1744" s="81" t="s">
        <v>219</v>
      </c>
      <c r="G1744" s="82">
        <v>1</v>
      </c>
      <c r="H1744" s="85"/>
      <c r="I1744" s="86">
        <v>23327.759999999998</v>
      </c>
      <c r="J1744" s="185">
        <f t="shared" si="171"/>
        <v>26560.99</v>
      </c>
      <c r="K1744" s="189">
        <f t="shared" si="172"/>
        <v>26560.99</v>
      </c>
      <c r="L1744" s="189"/>
      <c r="M1744" s="138"/>
      <c r="N1744" s="138"/>
      <c r="O1744" s="138"/>
      <c r="S1744" s="72"/>
      <c r="T1744" s="72"/>
      <c r="U1744" s="72"/>
      <c r="V1744" s="72"/>
    </row>
    <row r="1745" spans="1:22" s="63" customFormat="1" ht="22.5" x14ac:dyDescent="0.25">
      <c r="A1745" s="87">
        <v>11.17</v>
      </c>
      <c r="B1745" s="81" t="s">
        <v>55</v>
      </c>
      <c r="C1745" s="87">
        <v>1.1599999999999999</v>
      </c>
      <c r="D1745" s="131" t="s">
        <v>1511</v>
      </c>
      <c r="E1745" s="83" t="s">
        <v>3696</v>
      </c>
      <c r="F1745" s="81" t="s">
        <v>1512</v>
      </c>
      <c r="G1745" s="82">
        <v>4</v>
      </c>
      <c r="H1745" s="85"/>
      <c r="I1745" s="86">
        <v>47007.88</v>
      </c>
      <c r="J1745" s="185">
        <f t="shared" si="171"/>
        <v>13380.79</v>
      </c>
      <c r="K1745" s="189">
        <f t="shared" si="172"/>
        <v>53523.16</v>
      </c>
      <c r="L1745" s="189"/>
      <c r="M1745" s="138"/>
      <c r="N1745" s="138"/>
      <c r="O1745" s="138"/>
      <c r="S1745" s="72"/>
      <c r="T1745" s="72"/>
      <c r="U1745" s="72"/>
      <c r="V1745" s="72"/>
    </row>
    <row r="1746" spans="1:22" s="63" customFormat="1" ht="22.5" x14ac:dyDescent="0.25">
      <c r="A1746" s="87">
        <v>11.18</v>
      </c>
      <c r="B1746" s="81" t="s">
        <v>55</v>
      </c>
      <c r="C1746" s="87">
        <v>1.17</v>
      </c>
      <c r="D1746" s="131" t="s">
        <v>1513</v>
      </c>
      <c r="E1746" s="83" t="s">
        <v>3697</v>
      </c>
      <c r="F1746" s="81" t="s">
        <v>1512</v>
      </c>
      <c r="G1746" s="82">
        <v>19</v>
      </c>
      <c r="H1746" s="85"/>
      <c r="I1746" s="86">
        <v>235921.26</v>
      </c>
      <c r="J1746" s="185">
        <f t="shared" si="171"/>
        <v>14137.89</v>
      </c>
      <c r="K1746" s="189">
        <f t="shared" si="172"/>
        <v>268619.90999999997</v>
      </c>
      <c r="L1746" s="189"/>
      <c r="M1746" s="138"/>
      <c r="N1746" s="138"/>
      <c r="O1746" s="138"/>
      <c r="S1746" s="72"/>
      <c r="T1746" s="72"/>
      <c r="U1746" s="72"/>
      <c r="V1746" s="72"/>
    </row>
    <row r="1747" spans="1:22" s="63" customFormat="1" ht="22.5" x14ac:dyDescent="0.25">
      <c r="A1747" s="87">
        <v>11.19</v>
      </c>
      <c r="B1747" s="81" t="s">
        <v>55</v>
      </c>
      <c r="C1747" s="87">
        <v>1.18</v>
      </c>
      <c r="D1747" s="131" t="s">
        <v>1514</v>
      </c>
      <c r="E1747" s="83" t="s">
        <v>3698</v>
      </c>
      <c r="F1747" s="81" t="s">
        <v>1512</v>
      </c>
      <c r="G1747" s="82">
        <v>7</v>
      </c>
      <c r="H1747" s="85"/>
      <c r="I1747" s="86">
        <v>110338.53</v>
      </c>
      <c r="J1747" s="185">
        <f t="shared" si="171"/>
        <v>17947.349999999999</v>
      </c>
      <c r="K1747" s="189">
        <f t="shared" si="172"/>
        <v>125631.45</v>
      </c>
      <c r="L1747" s="189"/>
      <c r="M1747" s="138"/>
      <c r="N1747" s="138"/>
      <c r="O1747" s="138"/>
      <c r="S1747" s="72"/>
      <c r="T1747" s="72"/>
      <c r="U1747" s="72"/>
      <c r="V1747" s="72"/>
    </row>
    <row r="1748" spans="1:22" s="63" customFormat="1" ht="22.5" x14ac:dyDescent="0.25">
      <c r="A1748" s="87">
        <v>11.2</v>
      </c>
      <c r="B1748" s="81" t="s">
        <v>55</v>
      </c>
      <c r="C1748" s="87">
        <v>1.19</v>
      </c>
      <c r="D1748" s="131" t="s">
        <v>1515</v>
      </c>
      <c r="E1748" s="83" t="s">
        <v>1516</v>
      </c>
      <c r="F1748" s="81" t="s">
        <v>219</v>
      </c>
      <c r="G1748" s="82">
        <v>5</v>
      </c>
      <c r="H1748" s="85"/>
      <c r="I1748" s="86">
        <v>76792.02</v>
      </c>
      <c r="J1748" s="185">
        <f t="shared" si="171"/>
        <v>17487.080000000002</v>
      </c>
      <c r="K1748" s="189">
        <f t="shared" si="172"/>
        <v>87435.4</v>
      </c>
      <c r="L1748" s="189"/>
      <c r="M1748" s="138"/>
      <c r="N1748" s="138"/>
      <c r="O1748" s="138"/>
      <c r="S1748" s="72"/>
      <c r="T1748" s="72"/>
      <c r="U1748" s="72"/>
      <c r="V1748" s="72"/>
    </row>
    <row r="1749" spans="1:22" s="63" customFormat="1" ht="22.5" x14ac:dyDescent="0.25">
      <c r="A1749" s="87">
        <v>11.21</v>
      </c>
      <c r="B1749" s="81" t="s">
        <v>55</v>
      </c>
      <c r="C1749" s="87">
        <v>1.2</v>
      </c>
      <c r="D1749" s="131" t="s">
        <v>1517</v>
      </c>
      <c r="E1749" s="83" t="s">
        <v>1518</v>
      </c>
      <c r="F1749" s="81" t="s">
        <v>219</v>
      </c>
      <c r="G1749" s="82">
        <v>5</v>
      </c>
      <c r="H1749" s="85"/>
      <c r="I1749" s="86">
        <v>87402.29</v>
      </c>
      <c r="J1749" s="185">
        <f t="shared" si="171"/>
        <v>19903.25</v>
      </c>
      <c r="K1749" s="189">
        <f t="shared" si="172"/>
        <v>99516.25</v>
      </c>
      <c r="L1749" s="189"/>
      <c r="M1749" s="138"/>
      <c r="N1749" s="138"/>
      <c r="O1749" s="138"/>
      <c r="S1749" s="72"/>
      <c r="T1749" s="72"/>
      <c r="U1749" s="72"/>
      <c r="V1749" s="72"/>
    </row>
    <row r="1750" spans="1:22" s="63" customFormat="1" ht="22.5" x14ac:dyDescent="0.25">
      <c r="A1750" s="87">
        <v>11.22</v>
      </c>
      <c r="B1750" s="81" t="s">
        <v>55</v>
      </c>
      <c r="C1750" s="87">
        <v>1.21</v>
      </c>
      <c r="D1750" s="131" t="s">
        <v>1519</v>
      </c>
      <c r="E1750" s="83" t="s">
        <v>1520</v>
      </c>
      <c r="F1750" s="81" t="s">
        <v>219</v>
      </c>
      <c r="G1750" s="82">
        <v>4</v>
      </c>
      <c r="H1750" s="85"/>
      <c r="I1750" s="86">
        <v>74224.72</v>
      </c>
      <c r="J1750" s="185">
        <f t="shared" si="171"/>
        <v>21128.07</v>
      </c>
      <c r="K1750" s="189">
        <f t="shared" si="172"/>
        <v>84512.28</v>
      </c>
      <c r="L1750" s="189"/>
      <c r="M1750" s="138"/>
      <c r="N1750" s="138"/>
      <c r="O1750" s="138"/>
      <c r="S1750" s="72"/>
      <c r="T1750" s="72"/>
      <c r="U1750" s="72"/>
      <c r="V1750" s="72"/>
    </row>
    <row r="1751" spans="1:22" s="63" customFormat="1" ht="22.5" x14ac:dyDescent="0.25">
      <c r="A1751" s="87">
        <v>11.23</v>
      </c>
      <c r="B1751" s="81" t="s">
        <v>55</v>
      </c>
      <c r="C1751" s="87">
        <v>1.22</v>
      </c>
      <c r="D1751" s="131" t="s">
        <v>1521</v>
      </c>
      <c r="E1751" s="83" t="s">
        <v>1522</v>
      </c>
      <c r="F1751" s="81" t="s">
        <v>219</v>
      </c>
      <c r="G1751" s="82">
        <v>4</v>
      </c>
      <c r="H1751" s="85"/>
      <c r="I1751" s="86">
        <v>82673.509999999995</v>
      </c>
      <c r="J1751" s="185">
        <f t="shared" si="171"/>
        <v>23533.01</v>
      </c>
      <c r="K1751" s="189">
        <f t="shared" si="172"/>
        <v>94132.04</v>
      </c>
      <c r="L1751" s="189"/>
      <c r="M1751" s="138"/>
      <c r="N1751" s="138"/>
      <c r="O1751" s="138"/>
      <c r="S1751" s="72"/>
      <c r="T1751" s="72"/>
      <c r="U1751" s="72"/>
      <c r="V1751" s="72"/>
    </row>
    <row r="1752" spans="1:22" s="63" customFormat="1" ht="22.5" x14ac:dyDescent="0.25">
      <c r="A1752" s="87">
        <v>11.24</v>
      </c>
      <c r="B1752" s="81" t="s">
        <v>55</v>
      </c>
      <c r="C1752" s="87">
        <v>1.23</v>
      </c>
      <c r="D1752" s="131" t="s">
        <v>1523</v>
      </c>
      <c r="E1752" s="83" t="s">
        <v>1524</v>
      </c>
      <c r="F1752" s="81" t="s">
        <v>219</v>
      </c>
      <c r="G1752" s="82">
        <v>2</v>
      </c>
      <c r="H1752" s="85"/>
      <c r="I1752" s="86">
        <v>46929.56</v>
      </c>
      <c r="J1752" s="185">
        <f t="shared" si="171"/>
        <v>26717</v>
      </c>
      <c r="K1752" s="189">
        <f t="shared" si="172"/>
        <v>53434</v>
      </c>
      <c r="L1752" s="189"/>
      <c r="M1752" s="138"/>
      <c r="N1752" s="138"/>
      <c r="O1752" s="138"/>
      <c r="S1752" s="72"/>
      <c r="T1752" s="72"/>
      <c r="U1752" s="72"/>
      <c r="V1752" s="72"/>
    </row>
    <row r="1753" spans="1:22" s="63" customFormat="1" ht="22.5" x14ac:dyDescent="0.25">
      <c r="A1753" s="87">
        <v>11.25</v>
      </c>
      <c r="B1753" s="81" t="s">
        <v>55</v>
      </c>
      <c r="C1753" s="87">
        <v>1.24</v>
      </c>
      <c r="D1753" s="131" t="s">
        <v>1525</v>
      </c>
      <c r="E1753" s="83" t="s">
        <v>1526</v>
      </c>
      <c r="F1753" s="81" t="s">
        <v>219</v>
      </c>
      <c r="G1753" s="82">
        <v>2</v>
      </c>
      <c r="H1753" s="85"/>
      <c r="I1753" s="86">
        <v>55732.480000000003</v>
      </c>
      <c r="J1753" s="185">
        <f t="shared" si="171"/>
        <v>31728.5</v>
      </c>
      <c r="K1753" s="189">
        <f t="shared" si="172"/>
        <v>63457</v>
      </c>
      <c r="L1753" s="189"/>
      <c r="M1753" s="138"/>
      <c r="N1753" s="138"/>
      <c r="O1753" s="138"/>
      <c r="S1753" s="72"/>
      <c r="T1753" s="72"/>
      <c r="U1753" s="72"/>
      <c r="V1753" s="72"/>
    </row>
    <row r="1754" spans="1:22" s="63" customFormat="1" ht="15" x14ac:dyDescent="0.25">
      <c r="A1754" s="237"/>
      <c r="B1754" s="125"/>
      <c r="C1754" s="237"/>
      <c r="D1754" s="77"/>
      <c r="E1754" s="126" t="s">
        <v>3313</v>
      </c>
      <c r="F1754" s="125"/>
      <c r="G1754" s="76"/>
      <c r="H1754" s="127"/>
      <c r="I1754" s="78"/>
      <c r="J1754" s="238"/>
      <c r="K1754" s="239"/>
      <c r="L1754" s="239"/>
      <c r="M1754" s="138"/>
      <c r="N1754" s="138"/>
      <c r="O1754" s="138"/>
      <c r="S1754" s="72"/>
      <c r="T1754" s="72"/>
      <c r="U1754" s="72"/>
      <c r="V1754" s="72"/>
    </row>
    <row r="1755" spans="1:22" s="63" customFormat="1" ht="22.5" x14ac:dyDescent="0.25">
      <c r="A1755" s="87">
        <v>11.26</v>
      </c>
      <c r="B1755" s="81" t="s">
        <v>55</v>
      </c>
      <c r="C1755" s="82">
        <v>2</v>
      </c>
      <c r="D1755" s="131" t="s">
        <v>880</v>
      </c>
      <c r="E1755" s="83" t="s">
        <v>1527</v>
      </c>
      <c r="F1755" s="81" t="s">
        <v>216</v>
      </c>
      <c r="G1755" s="87">
        <v>0.97</v>
      </c>
      <c r="H1755" s="85"/>
      <c r="I1755" s="86">
        <v>84706.97</v>
      </c>
      <c r="J1755" s="185">
        <f t="shared" ref="J1755:J1776" si="173">ROUND($I1755/$G1755*$N$11,2)</f>
        <v>99430.26</v>
      </c>
      <c r="K1755" s="189">
        <f t="shared" ref="K1755:K1776" si="174">ROUND(G1755*J1755,2)</f>
        <v>96447.35</v>
      </c>
      <c r="L1755" s="189"/>
      <c r="M1755" s="138"/>
      <c r="N1755" s="138"/>
      <c r="O1755" s="138"/>
      <c r="S1755" s="72"/>
      <c r="T1755" s="72"/>
      <c r="U1755" s="72"/>
      <c r="V1755" s="72"/>
    </row>
    <row r="1756" spans="1:22" s="63" customFormat="1" ht="22.5" x14ac:dyDescent="0.25">
      <c r="A1756" s="87">
        <v>11.27</v>
      </c>
      <c r="B1756" s="81" t="s">
        <v>55</v>
      </c>
      <c r="C1756" s="80">
        <v>2.1</v>
      </c>
      <c r="D1756" s="131" t="s">
        <v>1528</v>
      </c>
      <c r="E1756" s="83" t="s">
        <v>1529</v>
      </c>
      <c r="F1756" s="81" t="s">
        <v>334</v>
      </c>
      <c r="G1756" s="82">
        <v>-388</v>
      </c>
      <c r="H1756" s="85"/>
      <c r="I1756" s="86">
        <v>-10853.14</v>
      </c>
      <c r="J1756" s="185">
        <f t="shared" si="173"/>
        <v>31.85</v>
      </c>
      <c r="K1756" s="189">
        <f t="shared" si="174"/>
        <v>-12357.8</v>
      </c>
      <c r="L1756" s="189"/>
      <c r="M1756" s="138"/>
      <c r="N1756" s="138"/>
      <c r="O1756" s="138"/>
      <c r="S1756" s="72"/>
      <c r="T1756" s="72"/>
      <c r="U1756" s="72"/>
      <c r="V1756" s="72"/>
    </row>
    <row r="1757" spans="1:22" s="63" customFormat="1" ht="22.5" x14ac:dyDescent="0.25">
      <c r="A1757" s="87">
        <v>11.28</v>
      </c>
      <c r="B1757" s="81" t="s">
        <v>55</v>
      </c>
      <c r="C1757" s="80">
        <v>2.2000000000000002</v>
      </c>
      <c r="D1757" s="131" t="s">
        <v>1530</v>
      </c>
      <c r="E1757" s="83" t="s">
        <v>3699</v>
      </c>
      <c r="F1757" s="81" t="s">
        <v>1512</v>
      </c>
      <c r="G1757" s="82">
        <v>5</v>
      </c>
      <c r="H1757" s="85"/>
      <c r="I1757" s="86">
        <v>23933.02</v>
      </c>
      <c r="J1757" s="185">
        <f t="shared" si="173"/>
        <v>5450.03</v>
      </c>
      <c r="K1757" s="189">
        <f t="shared" si="174"/>
        <v>27250.15</v>
      </c>
      <c r="L1757" s="189"/>
      <c r="M1757" s="138"/>
      <c r="N1757" s="138"/>
      <c r="O1757" s="138"/>
      <c r="S1757" s="72"/>
      <c r="T1757" s="72"/>
      <c r="U1757" s="72"/>
      <c r="V1757" s="72"/>
    </row>
    <row r="1758" spans="1:22" s="63" customFormat="1" ht="22.5" x14ac:dyDescent="0.25">
      <c r="A1758" s="87">
        <v>11.29</v>
      </c>
      <c r="B1758" s="81" t="s">
        <v>55</v>
      </c>
      <c r="C1758" s="80">
        <v>2.2999999999999998</v>
      </c>
      <c r="D1758" s="131" t="s">
        <v>1531</v>
      </c>
      <c r="E1758" s="83" t="s">
        <v>3700</v>
      </c>
      <c r="F1758" s="81" t="s">
        <v>1512</v>
      </c>
      <c r="G1758" s="82">
        <v>1</v>
      </c>
      <c r="H1758" s="85"/>
      <c r="I1758" s="86">
        <v>5265.31</v>
      </c>
      <c r="J1758" s="185">
        <f t="shared" si="173"/>
        <v>5995.08</v>
      </c>
      <c r="K1758" s="189">
        <f t="shared" si="174"/>
        <v>5995.08</v>
      </c>
      <c r="L1758" s="189"/>
      <c r="M1758" s="138"/>
      <c r="N1758" s="138"/>
      <c r="O1758" s="138"/>
      <c r="S1758" s="72"/>
      <c r="T1758" s="72"/>
      <c r="U1758" s="72"/>
      <c r="V1758" s="72"/>
    </row>
    <row r="1759" spans="1:22" s="63" customFormat="1" ht="22.5" x14ac:dyDescent="0.25">
      <c r="A1759" s="87">
        <v>11.3</v>
      </c>
      <c r="B1759" s="81" t="s">
        <v>55</v>
      </c>
      <c r="C1759" s="80">
        <v>2.4</v>
      </c>
      <c r="D1759" s="131" t="s">
        <v>1532</v>
      </c>
      <c r="E1759" s="83" t="s">
        <v>3701</v>
      </c>
      <c r="F1759" s="81" t="s">
        <v>1512</v>
      </c>
      <c r="G1759" s="82">
        <v>12</v>
      </c>
      <c r="H1759" s="85"/>
      <c r="I1759" s="86">
        <v>61268.54</v>
      </c>
      <c r="J1759" s="185">
        <f t="shared" si="173"/>
        <v>5813.36</v>
      </c>
      <c r="K1759" s="189">
        <f t="shared" si="174"/>
        <v>69760.320000000007</v>
      </c>
      <c r="L1759" s="189"/>
      <c r="M1759" s="138"/>
      <c r="N1759" s="138"/>
      <c r="O1759" s="138"/>
      <c r="S1759" s="72"/>
      <c r="T1759" s="72"/>
      <c r="U1759" s="72"/>
      <c r="V1759" s="72"/>
    </row>
    <row r="1760" spans="1:22" s="63" customFormat="1" ht="22.5" x14ac:dyDescent="0.25">
      <c r="A1760" s="87">
        <v>11.31</v>
      </c>
      <c r="B1760" s="81" t="s">
        <v>55</v>
      </c>
      <c r="C1760" s="80">
        <v>2.5</v>
      </c>
      <c r="D1760" s="131" t="s">
        <v>1533</v>
      </c>
      <c r="E1760" s="83" t="s">
        <v>3702</v>
      </c>
      <c r="F1760" s="81" t="s">
        <v>1512</v>
      </c>
      <c r="G1760" s="82">
        <v>4</v>
      </c>
      <c r="H1760" s="85"/>
      <c r="I1760" s="86">
        <v>21784.42</v>
      </c>
      <c r="J1760" s="185">
        <f t="shared" si="173"/>
        <v>6200.94</v>
      </c>
      <c r="K1760" s="189">
        <f t="shared" si="174"/>
        <v>24803.759999999998</v>
      </c>
      <c r="L1760" s="189"/>
      <c r="M1760" s="138"/>
      <c r="N1760" s="138"/>
      <c r="O1760" s="138"/>
      <c r="S1760" s="72"/>
      <c r="T1760" s="72"/>
      <c r="U1760" s="72"/>
      <c r="V1760" s="72"/>
    </row>
    <row r="1761" spans="1:22" s="63" customFormat="1" ht="22.5" x14ac:dyDescent="0.25">
      <c r="A1761" s="87">
        <v>11.32</v>
      </c>
      <c r="B1761" s="81" t="s">
        <v>55</v>
      </c>
      <c r="C1761" s="80">
        <v>2.6</v>
      </c>
      <c r="D1761" s="131" t="s">
        <v>1534</v>
      </c>
      <c r="E1761" s="83" t="s">
        <v>3703</v>
      </c>
      <c r="F1761" s="81" t="s">
        <v>1512</v>
      </c>
      <c r="G1761" s="82">
        <v>11</v>
      </c>
      <c r="H1761" s="85"/>
      <c r="I1761" s="86">
        <v>36856.879999999997</v>
      </c>
      <c r="J1761" s="185">
        <f t="shared" si="173"/>
        <v>3815.02</v>
      </c>
      <c r="K1761" s="189">
        <f t="shared" si="174"/>
        <v>41965.22</v>
      </c>
      <c r="L1761" s="189"/>
      <c r="M1761" s="138"/>
      <c r="N1761" s="138"/>
      <c r="O1761" s="138"/>
      <c r="S1761" s="72"/>
      <c r="T1761" s="72"/>
      <c r="U1761" s="72"/>
      <c r="V1761" s="72"/>
    </row>
    <row r="1762" spans="1:22" s="63" customFormat="1" ht="22.5" x14ac:dyDescent="0.25">
      <c r="A1762" s="87">
        <v>11.33</v>
      </c>
      <c r="B1762" s="81" t="s">
        <v>55</v>
      </c>
      <c r="C1762" s="80">
        <v>2.7</v>
      </c>
      <c r="D1762" s="131" t="s">
        <v>1534</v>
      </c>
      <c r="E1762" s="83" t="s">
        <v>3704</v>
      </c>
      <c r="F1762" s="81" t="s">
        <v>1512</v>
      </c>
      <c r="G1762" s="82">
        <v>1</v>
      </c>
      <c r="H1762" s="85"/>
      <c r="I1762" s="86">
        <v>3350.6</v>
      </c>
      <c r="J1762" s="185">
        <f t="shared" si="173"/>
        <v>3814.99</v>
      </c>
      <c r="K1762" s="189">
        <f t="shared" si="174"/>
        <v>3814.99</v>
      </c>
      <c r="L1762" s="189"/>
      <c r="M1762" s="138"/>
      <c r="N1762" s="138"/>
      <c r="O1762" s="138"/>
      <c r="S1762" s="72"/>
      <c r="T1762" s="72"/>
      <c r="U1762" s="72"/>
      <c r="V1762" s="72"/>
    </row>
    <row r="1763" spans="1:22" s="63" customFormat="1" ht="22.5" x14ac:dyDescent="0.25">
      <c r="A1763" s="87">
        <v>11.34</v>
      </c>
      <c r="B1763" s="81" t="s">
        <v>55</v>
      </c>
      <c r="C1763" s="80">
        <v>2.8</v>
      </c>
      <c r="D1763" s="131" t="s">
        <v>1535</v>
      </c>
      <c r="E1763" s="83" t="s">
        <v>3705</v>
      </c>
      <c r="F1763" s="81" t="s">
        <v>1512</v>
      </c>
      <c r="G1763" s="82">
        <v>1</v>
      </c>
      <c r="H1763" s="85"/>
      <c r="I1763" s="86">
        <v>4307.95</v>
      </c>
      <c r="J1763" s="185">
        <f t="shared" si="173"/>
        <v>4905.03</v>
      </c>
      <c r="K1763" s="189">
        <f t="shared" si="174"/>
        <v>4905.03</v>
      </c>
      <c r="L1763" s="189"/>
      <c r="M1763" s="138"/>
      <c r="N1763" s="138"/>
      <c r="O1763" s="138"/>
      <c r="S1763" s="72"/>
      <c r="T1763" s="72"/>
      <c r="U1763" s="72"/>
      <c r="V1763" s="72"/>
    </row>
    <row r="1764" spans="1:22" s="63" customFormat="1" ht="22.5" x14ac:dyDescent="0.25">
      <c r="A1764" s="87">
        <v>11.35</v>
      </c>
      <c r="B1764" s="81" t="s">
        <v>55</v>
      </c>
      <c r="C1764" s="80">
        <v>2.9</v>
      </c>
      <c r="D1764" s="131" t="s">
        <v>1535</v>
      </c>
      <c r="E1764" s="83" t="s">
        <v>3706</v>
      </c>
      <c r="F1764" s="81" t="s">
        <v>1512</v>
      </c>
      <c r="G1764" s="82">
        <v>3</v>
      </c>
      <c r="H1764" s="85"/>
      <c r="I1764" s="86">
        <v>12923.86</v>
      </c>
      <c r="J1764" s="185">
        <f t="shared" si="173"/>
        <v>4905.04</v>
      </c>
      <c r="K1764" s="189">
        <f t="shared" si="174"/>
        <v>14715.12</v>
      </c>
      <c r="L1764" s="189"/>
      <c r="M1764" s="138"/>
      <c r="N1764" s="138"/>
      <c r="O1764" s="138"/>
      <c r="S1764" s="72"/>
      <c r="T1764" s="72"/>
      <c r="U1764" s="72"/>
      <c r="V1764" s="72"/>
    </row>
    <row r="1765" spans="1:22" s="63" customFormat="1" ht="22.5" x14ac:dyDescent="0.25">
      <c r="A1765" s="87">
        <v>11.36</v>
      </c>
      <c r="B1765" s="81" t="s">
        <v>55</v>
      </c>
      <c r="C1765" s="87">
        <v>2.1</v>
      </c>
      <c r="D1765" s="131" t="s">
        <v>1536</v>
      </c>
      <c r="E1765" s="83" t="s">
        <v>3707</v>
      </c>
      <c r="F1765" s="81" t="s">
        <v>1512</v>
      </c>
      <c r="G1765" s="82">
        <v>1</v>
      </c>
      <c r="H1765" s="85"/>
      <c r="I1765" s="86">
        <v>7885.17</v>
      </c>
      <c r="J1765" s="185">
        <f t="shared" si="173"/>
        <v>8978.0499999999993</v>
      </c>
      <c r="K1765" s="189">
        <f t="shared" si="174"/>
        <v>8978.0499999999993</v>
      </c>
      <c r="L1765" s="189"/>
      <c r="M1765" s="138"/>
      <c r="N1765" s="138"/>
      <c r="O1765" s="138"/>
      <c r="S1765" s="72"/>
      <c r="T1765" s="72"/>
      <c r="U1765" s="72"/>
      <c r="V1765" s="72"/>
    </row>
    <row r="1766" spans="1:22" s="63" customFormat="1" ht="22.5" x14ac:dyDescent="0.25">
      <c r="A1766" s="87">
        <v>11.37</v>
      </c>
      <c r="B1766" s="81" t="s">
        <v>55</v>
      </c>
      <c r="C1766" s="87">
        <v>2.11</v>
      </c>
      <c r="D1766" s="131" t="s">
        <v>1537</v>
      </c>
      <c r="E1766" s="83" t="s">
        <v>3708</v>
      </c>
      <c r="F1766" s="81" t="s">
        <v>1512</v>
      </c>
      <c r="G1766" s="82">
        <v>2</v>
      </c>
      <c r="H1766" s="85"/>
      <c r="I1766" s="86">
        <v>16873.86</v>
      </c>
      <c r="J1766" s="185">
        <f t="shared" si="173"/>
        <v>9606.2900000000009</v>
      </c>
      <c r="K1766" s="189">
        <f t="shared" si="174"/>
        <v>19212.580000000002</v>
      </c>
      <c r="L1766" s="189"/>
      <c r="M1766" s="138"/>
      <c r="N1766" s="138"/>
      <c r="O1766" s="138"/>
      <c r="S1766" s="72"/>
      <c r="T1766" s="72"/>
      <c r="U1766" s="72"/>
      <c r="V1766" s="72"/>
    </row>
    <row r="1767" spans="1:22" s="63" customFormat="1" ht="22.5" x14ac:dyDescent="0.25">
      <c r="A1767" s="87">
        <v>11.38</v>
      </c>
      <c r="B1767" s="81" t="s">
        <v>55</v>
      </c>
      <c r="C1767" s="87">
        <v>2.12</v>
      </c>
      <c r="D1767" s="131" t="s">
        <v>1538</v>
      </c>
      <c r="E1767" s="83" t="s">
        <v>3709</v>
      </c>
      <c r="F1767" s="81" t="s">
        <v>1512</v>
      </c>
      <c r="G1767" s="82">
        <v>1</v>
      </c>
      <c r="H1767" s="85"/>
      <c r="I1767" s="86">
        <v>8995.08</v>
      </c>
      <c r="J1767" s="185">
        <f t="shared" si="173"/>
        <v>10241.799999999999</v>
      </c>
      <c r="K1767" s="189">
        <f t="shared" si="174"/>
        <v>10241.799999999999</v>
      </c>
      <c r="L1767" s="189"/>
      <c r="M1767" s="138"/>
      <c r="N1767" s="138"/>
      <c r="O1767" s="138"/>
      <c r="S1767" s="72"/>
      <c r="T1767" s="72"/>
      <c r="U1767" s="72"/>
      <c r="V1767" s="72"/>
    </row>
    <row r="1768" spans="1:22" s="63" customFormat="1" ht="22.5" x14ac:dyDescent="0.25">
      <c r="A1768" s="87">
        <v>11.39</v>
      </c>
      <c r="B1768" s="81" t="s">
        <v>55</v>
      </c>
      <c r="C1768" s="87">
        <v>2.13</v>
      </c>
      <c r="D1768" s="131" t="s">
        <v>1539</v>
      </c>
      <c r="E1768" s="83" t="s">
        <v>3710</v>
      </c>
      <c r="F1768" s="81" t="s">
        <v>1512</v>
      </c>
      <c r="G1768" s="82">
        <v>3</v>
      </c>
      <c r="H1768" s="85"/>
      <c r="I1768" s="86">
        <v>33715.760000000002</v>
      </c>
      <c r="J1768" s="185">
        <f t="shared" si="173"/>
        <v>12796.25</v>
      </c>
      <c r="K1768" s="189">
        <f t="shared" si="174"/>
        <v>38388.75</v>
      </c>
      <c r="L1768" s="189"/>
      <c r="M1768" s="138"/>
      <c r="N1768" s="138"/>
      <c r="O1768" s="138"/>
      <c r="S1768" s="72"/>
      <c r="T1768" s="72"/>
      <c r="U1768" s="72"/>
      <c r="V1768" s="72"/>
    </row>
    <row r="1769" spans="1:22" s="63" customFormat="1" ht="22.5" x14ac:dyDescent="0.25">
      <c r="A1769" s="87">
        <v>11.4</v>
      </c>
      <c r="B1769" s="81" t="s">
        <v>55</v>
      </c>
      <c r="C1769" s="87">
        <v>2.14</v>
      </c>
      <c r="D1769" s="131" t="s">
        <v>1511</v>
      </c>
      <c r="E1769" s="83" t="s">
        <v>3711</v>
      </c>
      <c r="F1769" s="81" t="s">
        <v>1512</v>
      </c>
      <c r="G1769" s="82">
        <v>4</v>
      </c>
      <c r="H1769" s="85"/>
      <c r="I1769" s="86">
        <v>47007.88</v>
      </c>
      <c r="J1769" s="185">
        <f t="shared" si="173"/>
        <v>13380.79</v>
      </c>
      <c r="K1769" s="189">
        <f t="shared" si="174"/>
        <v>53523.16</v>
      </c>
      <c r="L1769" s="189"/>
      <c r="M1769" s="138"/>
      <c r="N1769" s="138"/>
      <c r="O1769" s="138"/>
      <c r="S1769" s="72"/>
      <c r="T1769" s="72"/>
      <c r="U1769" s="72"/>
      <c r="V1769" s="72"/>
    </row>
    <row r="1770" spans="1:22" s="63" customFormat="1" ht="22.5" x14ac:dyDescent="0.25">
      <c r="A1770" s="87">
        <v>11.41</v>
      </c>
      <c r="B1770" s="81" t="s">
        <v>55</v>
      </c>
      <c r="C1770" s="87">
        <v>2.15</v>
      </c>
      <c r="D1770" s="131" t="s">
        <v>1514</v>
      </c>
      <c r="E1770" s="83" t="s">
        <v>3712</v>
      </c>
      <c r="F1770" s="81" t="s">
        <v>1512</v>
      </c>
      <c r="G1770" s="82">
        <v>7</v>
      </c>
      <c r="H1770" s="85"/>
      <c r="I1770" s="86">
        <v>110338.53</v>
      </c>
      <c r="J1770" s="185">
        <f t="shared" si="173"/>
        <v>17947.349999999999</v>
      </c>
      <c r="K1770" s="189">
        <f t="shared" si="174"/>
        <v>125631.45</v>
      </c>
      <c r="L1770" s="189"/>
      <c r="M1770" s="138"/>
      <c r="N1770" s="138"/>
      <c r="O1770" s="138"/>
      <c r="S1770" s="72"/>
      <c r="T1770" s="72"/>
      <c r="U1770" s="72"/>
      <c r="V1770" s="72"/>
    </row>
    <row r="1771" spans="1:22" s="63" customFormat="1" ht="22.5" x14ac:dyDescent="0.25">
      <c r="A1771" s="87">
        <v>11.42</v>
      </c>
      <c r="B1771" s="81" t="s">
        <v>55</v>
      </c>
      <c r="C1771" s="87">
        <v>2.16</v>
      </c>
      <c r="D1771" s="131" t="s">
        <v>1540</v>
      </c>
      <c r="E1771" s="83" t="s">
        <v>3713</v>
      </c>
      <c r="F1771" s="81" t="s">
        <v>1512</v>
      </c>
      <c r="G1771" s="82">
        <v>5</v>
      </c>
      <c r="H1771" s="85"/>
      <c r="I1771" s="86">
        <v>54463.44</v>
      </c>
      <c r="J1771" s="185">
        <f t="shared" si="173"/>
        <v>12402.41</v>
      </c>
      <c r="K1771" s="189">
        <f t="shared" si="174"/>
        <v>62012.05</v>
      </c>
      <c r="L1771" s="189"/>
      <c r="M1771" s="138"/>
      <c r="N1771" s="138"/>
      <c r="O1771" s="138"/>
      <c r="S1771" s="72"/>
      <c r="T1771" s="72"/>
      <c r="U1771" s="72"/>
      <c r="V1771" s="72"/>
    </row>
    <row r="1772" spans="1:22" s="63" customFormat="1" ht="22.5" x14ac:dyDescent="0.25">
      <c r="A1772" s="87">
        <v>11.43</v>
      </c>
      <c r="B1772" s="81" t="s">
        <v>55</v>
      </c>
      <c r="C1772" s="87">
        <v>2.17</v>
      </c>
      <c r="D1772" s="131" t="s">
        <v>1541</v>
      </c>
      <c r="E1772" s="83" t="s">
        <v>3714</v>
      </c>
      <c r="F1772" s="81" t="s">
        <v>1512</v>
      </c>
      <c r="G1772" s="82">
        <v>5</v>
      </c>
      <c r="H1772" s="85"/>
      <c r="I1772" s="86">
        <v>62439.360000000001</v>
      </c>
      <c r="J1772" s="185">
        <f t="shared" si="173"/>
        <v>14218.69</v>
      </c>
      <c r="K1772" s="189">
        <f t="shared" si="174"/>
        <v>71093.45</v>
      </c>
      <c r="L1772" s="189"/>
      <c r="M1772" s="138"/>
      <c r="N1772" s="138"/>
      <c r="O1772" s="138"/>
      <c r="S1772" s="72"/>
      <c r="T1772" s="72"/>
      <c r="U1772" s="72"/>
      <c r="V1772" s="72"/>
    </row>
    <row r="1773" spans="1:22" s="63" customFormat="1" ht="22.5" x14ac:dyDescent="0.25">
      <c r="A1773" s="87">
        <v>11.44</v>
      </c>
      <c r="B1773" s="81" t="s">
        <v>55</v>
      </c>
      <c r="C1773" s="87">
        <v>2.1800000000000002</v>
      </c>
      <c r="D1773" s="131" t="s">
        <v>1542</v>
      </c>
      <c r="E1773" s="83" t="s">
        <v>3715</v>
      </c>
      <c r="F1773" s="81" t="s">
        <v>1512</v>
      </c>
      <c r="G1773" s="82">
        <v>4</v>
      </c>
      <c r="H1773" s="85"/>
      <c r="I1773" s="86">
        <v>56513.83</v>
      </c>
      <c r="J1773" s="185">
        <f t="shared" si="173"/>
        <v>16086.66</v>
      </c>
      <c r="K1773" s="189">
        <f t="shared" si="174"/>
        <v>64346.64</v>
      </c>
      <c r="L1773" s="189"/>
      <c r="M1773" s="138"/>
      <c r="N1773" s="138"/>
      <c r="O1773" s="138"/>
      <c r="S1773" s="72"/>
      <c r="T1773" s="72"/>
      <c r="U1773" s="72"/>
      <c r="V1773" s="72"/>
    </row>
    <row r="1774" spans="1:22" s="63" customFormat="1" ht="22.5" x14ac:dyDescent="0.25">
      <c r="A1774" s="87">
        <v>11.45</v>
      </c>
      <c r="B1774" s="81" t="s">
        <v>55</v>
      </c>
      <c r="C1774" s="87">
        <v>2.19</v>
      </c>
      <c r="D1774" s="131" t="s">
        <v>1543</v>
      </c>
      <c r="E1774" s="83" t="s">
        <v>3716</v>
      </c>
      <c r="F1774" s="81" t="s">
        <v>1512</v>
      </c>
      <c r="G1774" s="82">
        <v>4</v>
      </c>
      <c r="H1774" s="85"/>
      <c r="I1774" s="86">
        <v>59792.5</v>
      </c>
      <c r="J1774" s="185">
        <f t="shared" si="173"/>
        <v>17019.939999999999</v>
      </c>
      <c r="K1774" s="189">
        <f t="shared" si="174"/>
        <v>68079.759999999995</v>
      </c>
      <c r="L1774" s="189"/>
      <c r="M1774" s="138"/>
      <c r="N1774" s="138"/>
      <c r="O1774" s="138"/>
      <c r="S1774" s="72"/>
      <c r="T1774" s="72"/>
      <c r="U1774" s="72"/>
      <c r="V1774" s="72"/>
    </row>
    <row r="1775" spans="1:22" s="63" customFormat="1" ht="22.5" x14ac:dyDescent="0.25">
      <c r="A1775" s="87">
        <v>11.46</v>
      </c>
      <c r="B1775" s="81" t="s">
        <v>55</v>
      </c>
      <c r="C1775" s="87">
        <v>2.2000000000000002</v>
      </c>
      <c r="D1775" s="131" t="s">
        <v>1544</v>
      </c>
      <c r="E1775" s="83" t="s">
        <v>3717</v>
      </c>
      <c r="F1775" s="81" t="s">
        <v>1512</v>
      </c>
      <c r="G1775" s="82">
        <v>2</v>
      </c>
      <c r="H1775" s="85"/>
      <c r="I1775" s="86">
        <v>31525.33</v>
      </c>
      <c r="J1775" s="185">
        <f t="shared" si="173"/>
        <v>17947.37</v>
      </c>
      <c r="K1775" s="189">
        <f t="shared" si="174"/>
        <v>35894.74</v>
      </c>
      <c r="L1775" s="189"/>
      <c r="M1775" s="138"/>
      <c r="N1775" s="138"/>
      <c r="O1775" s="138"/>
      <c r="S1775" s="72"/>
      <c r="T1775" s="72"/>
      <c r="U1775" s="72"/>
      <c r="V1775" s="72"/>
    </row>
    <row r="1776" spans="1:22" s="63" customFormat="1" ht="22.5" x14ac:dyDescent="0.25">
      <c r="A1776" s="87">
        <v>11.47</v>
      </c>
      <c r="B1776" s="81" t="s">
        <v>55</v>
      </c>
      <c r="C1776" s="87">
        <v>2.21</v>
      </c>
      <c r="D1776" s="131" t="s">
        <v>1545</v>
      </c>
      <c r="E1776" s="83" t="s">
        <v>3718</v>
      </c>
      <c r="F1776" s="81" t="s">
        <v>1512</v>
      </c>
      <c r="G1776" s="82">
        <v>2</v>
      </c>
      <c r="H1776" s="85"/>
      <c r="I1776" s="86">
        <v>39657.9</v>
      </c>
      <c r="J1776" s="185">
        <f t="shared" si="173"/>
        <v>22577.24</v>
      </c>
      <c r="K1776" s="189">
        <f t="shared" si="174"/>
        <v>45154.48</v>
      </c>
      <c r="L1776" s="189"/>
      <c r="M1776" s="138"/>
      <c r="N1776" s="138"/>
      <c r="O1776" s="138"/>
      <c r="S1776" s="72"/>
      <c r="T1776" s="72"/>
      <c r="U1776" s="72"/>
      <c r="V1776" s="72"/>
    </row>
    <row r="1777" spans="1:22" s="128" customFormat="1" ht="25.5" x14ac:dyDescent="0.25">
      <c r="A1777" s="237"/>
      <c r="B1777" s="125"/>
      <c r="C1777" s="237"/>
      <c r="D1777" s="77"/>
      <c r="E1777" s="126" t="s">
        <v>3314</v>
      </c>
      <c r="F1777" s="125"/>
      <c r="G1777" s="76"/>
      <c r="H1777" s="127"/>
      <c r="I1777" s="78"/>
      <c r="J1777" s="238"/>
      <c r="K1777" s="239"/>
      <c r="L1777" s="239"/>
      <c r="M1777" s="79"/>
      <c r="N1777" s="79"/>
      <c r="O1777" s="79"/>
      <c r="S1777" s="129"/>
      <c r="T1777" s="129"/>
      <c r="U1777" s="129"/>
      <c r="V1777" s="129"/>
    </row>
    <row r="1778" spans="1:22" s="63" customFormat="1" ht="15" x14ac:dyDescent="0.25">
      <c r="A1778" s="87">
        <v>11.48</v>
      </c>
      <c r="B1778" s="81" t="s">
        <v>55</v>
      </c>
      <c r="C1778" s="82">
        <v>3</v>
      </c>
      <c r="D1778" s="131" t="s">
        <v>733</v>
      </c>
      <c r="E1778" s="83" t="s">
        <v>734</v>
      </c>
      <c r="F1778" s="81" t="s">
        <v>219</v>
      </c>
      <c r="G1778" s="82">
        <v>100</v>
      </c>
      <c r="H1778" s="85"/>
      <c r="I1778" s="86">
        <v>101574.12</v>
      </c>
      <c r="J1778" s="185">
        <f t="shared" ref="J1778:J1793" si="175">ROUND($I1778/$G1778*$N$11,2)</f>
        <v>1156.52</v>
      </c>
      <c r="K1778" s="189">
        <f t="shared" ref="K1778:K1793" si="176">ROUND(G1778*J1778,2)</f>
        <v>115652</v>
      </c>
      <c r="L1778" s="189"/>
      <c r="M1778" s="138"/>
      <c r="N1778" s="138"/>
      <c r="O1778" s="138"/>
      <c r="S1778" s="72"/>
      <c r="T1778" s="72"/>
      <c r="U1778" s="72"/>
      <c r="V1778" s="72"/>
    </row>
    <row r="1779" spans="1:22" s="63" customFormat="1" ht="22.5" x14ac:dyDescent="0.25">
      <c r="A1779" s="87">
        <v>11.49</v>
      </c>
      <c r="B1779" s="81" t="s">
        <v>55</v>
      </c>
      <c r="C1779" s="80">
        <v>3.1</v>
      </c>
      <c r="D1779" s="131" t="s">
        <v>1546</v>
      </c>
      <c r="E1779" s="83" t="s">
        <v>1547</v>
      </c>
      <c r="F1779" s="81" t="s">
        <v>219</v>
      </c>
      <c r="G1779" s="82">
        <v>97</v>
      </c>
      <c r="H1779" s="85"/>
      <c r="I1779" s="86">
        <v>111063.76</v>
      </c>
      <c r="J1779" s="185">
        <f t="shared" si="175"/>
        <v>1303.68</v>
      </c>
      <c r="K1779" s="189">
        <f t="shared" si="176"/>
        <v>126456.96000000001</v>
      </c>
      <c r="L1779" s="189"/>
      <c r="M1779" s="138"/>
      <c r="N1779" s="138"/>
      <c r="O1779" s="138"/>
      <c r="S1779" s="72"/>
      <c r="T1779" s="72"/>
      <c r="U1779" s="72"/>
      <c r="V1779" s="72"/>
    </row>
    <row r="1780" spans="1:22" s="63" customFormat="1" ht="22.5" x14ac:dyDescent="0.25">
      <c r="A1780" s="87">
        <v>11.5</v>
      </c>
      <c r="B1780" s="81" t="s">
        <v>55</v>
      </c>
      <c r="C1780" s="80">
        <v>3.2</v>
      </c>
      <c r="D1780" s="131" t="s">
        <v>1548</v>
      </c>
      <c r="E1780" s="83" t="s">
        <v>1549</v>
      </c>
      <c r="F1780" s="81" t="s">
        <v>219</v>
      </c>
      <c r="G1780" s="82">
        <v>3</v>
      </c>
      <c r="H1780" s="85"/>
      <c r="I1780" s="86">
        <v>3434.96</v>
      </c>
      <c r="J1780" s="185">
        <f t="shared" si="175"/>
        <v>1303.68</v>
      </c>
      <c r="K1780" s="189">
        <f t="shared" si="176"/>
        <v>3911.04</v>
      </c>
      <c r="L1780" s="189"/>
      <c r="M1780" s="138"/>
      <c r="N1780" s="138"/>
      <c r="O1780" s="138"/>
      <c r="S1780" s="72"/>
      <c r="T1780" s="72"/>
      <c r="U1780" s="72"/>
      <c r="V1780" s="72"/>
    </row>
    <row r="1781" spans="1:22" s="63" customFormat="1" ht="22.5" x14ac:dyDescent="0.25">
      <c r="A1781" s="87">
        <v>11.51</v>
      </c>
      <c r="B1781" s="81" t="s">
        <v>55</v>
      </c>
      <c r="C1781" s="80">
        <v>3.3</v>
      </c>
      <c r="D1781" s="131" t="s">
        <v>1550</v>
      </c>
      <c r="E1781" s="83" t="s">
        <v>3719</v>
      </c>
      <c r="F1781" s="81" t="s">
        <v>219</v>
      </c>
      <c r="G1781" s="82">
        <v>97</v>
      </c>
      <c r="H1781" s="85"/>
      <c r="I1781" s="86">
        <v>119892.52</v>
      </c>
      <c r="J1781" s="185">
        <f t="shared" si="175"/>
        <v>1407.32</v>
      </c>
      <c r="K1781" s="189">
        <f t="shared" si="176"/>
        <v>136510.04</v>
      </c>
      <c r="L1781" s="189"/>
      <c r="M1781" s="138"/>
      <c r="N1781" s="138"/>
      <c r="O1781" s="138"/>
      <c r="S1781" s="72"/>
      <c r="T1781" s="72"/>
      <c r="U1781" s="72"/>
      <c r="V1781" s="72"/>
    </row>
    <row r="1782" spans="1:22" s="63" customFormat="1" ht="45" x14ac:dyDescent="0.25">
      <c r="A1782" s="87">
        <v>11.52</v>
      </c>
      <c r="B1782" s="81" t="s">
        <v>55</v>
      </c>
      <c r="C1782" s="80">
        <v>3.4</v>
      </c>
      <c r="D1782" s="131" t="s">
        <v>1551</v>
      </c>
      <c r="E1782" s="83" t="s">
        <v>1552</v>
      </c>
      <c r="F1782" s="81" t="s">
        <v>219</v>
      </c>
      <c r="G1782" s="82">
        <v>3</v>
      </c>
      <c r="H1782" s="85"/>
      <c r="I1782" s="86">
        <v>3929.4</v>
      </c>
      <c r="J1782" s="185">
        <f t="shared" si="175"/>
        <v>1491.34</v>
      </c>
      <c r="K1782" s="189">
        <f t="shared" si="176"/>
        <v>4474.0200000000004</v>
      </c>
      <c r="L1782" s="189"/>
      <c r="M1782" s="138"/>
      <c r="N1782" s="138"/>
      <c r="O1782" s="138"/>
      <c r="S1782" s="72"/>
      <c r="T1782" s="72"/>
      <c r="U1782" s="72"/>
      <c r="V1782" s="72"/>
    </row>
    <row r="1783" spans="1:22" s="63" customFormat="1" ht="22.5" x14ac:dyDescent="0.25">
      <c r="A1783" s="87">
        <v>11.53</v>
      </c>
      <c r="B1783" s="81" t="s">
        <v>55</v>
      </c>
      <c r="C1783" s="80">
        <v>3.5</v>
      </c>
      <c r="D1783" s="131" t="s">
        <v>1553</v>
      </c>
      <c r="E1783" s="83" t="s">
        <v>1554</v>
      </c>
      <c r="F1783" s="81" t="s">
        <v>219</v>
      </c>
      <c r="G1783" s="82">
        <v>3</v>
      </c>
      <c r="H1783" s="85"/>
      <c r="I1783" s="86">
        <v>1281.1199999999999</v>
      </c>
      <c r="J1783" s="185">
        <f t="shared" si="175"/>
        <v>486.23</v>
      </c>
      <c r="K1783" s="189">
        <f t="shared" si="176"/>
        <v>1458.69</v>
      </c>
      <c r="L1783" s="189"/>
      <c r="M1783" s="138"/>
      <c r="N1783" s="138"/>
      <c r="O1783" s="138"/>
      <c r="S1783" s="72"/>
      <c r="T1783" s="72"/>
      <c r="U1783" s="72"/>
      <c r="V1783" s="72"/>
    </row>
    <row r="1784" spans="1:22" s="63" customFormat="1" ht="22.5" x14ac:dyDescent="0.25">
      <c r="A1784" s="87">
        <v>11.54</v>
      </c>
      <c r="B1784" s="81" t="s">
        <v>55</v>
      </c>
      <c r="C1784" s="80">
        <v>3.6</v>
      </c>
      <c r="D1784" s="131" t="s">
        <v>1555</v>
      </c>
      <c r="E1784" s="83" t="s">
        <v>1556</v>
      </c>
      <c r="F1784" s="81" t="s">
        <v>219</v>
      </c>
      <c r="G1784" s="82">
        <v>2</v>
      </c>
      <c r="H1784" s="85"/>
      <c r="I1784" s="86">
        <v>1882.56</v>
      </c>
      <c r="J1784" s="185">
        <f t="shared" si="175"/>
        <v>1071.74</v>
      </c>
      <c r="K1784" s="189">
        <f t="shared" si="176"/>
        <v>2143.48</v>
      </c>
      <c r="L1784" s="189"/>
      <c r="M1784" s="138"/>
      <c r="N1784" s="138"/>
      <c r="O1784" s="138"/>
      <c r="S1784" s="72"/>
      <c r="T1784" s="72"/>
      <c r="U1784" s="72"/>
      <c r="V1784" s="72"/>
    </row>
    <row r="1785" spans="1:22" s="63" customFormat="1" ht="22.5" x14ac:dyDescent="0.25">
      <c r="A1785" s="87">
        <v>11.55</v>
      </c>
      <c r="B1785" s="81" t="s">
        <v>55</v>
      </c>
      <c r="C1785" s="80">
        <v>3.7</v>
      </c>
      <c r="D1785" s="131" t="s">
        <v>1557</v>
      </c>
      <c r="E1785" s="83" t="s">
        <v>1558</v>
      </c>
      <c r="F1785" s="81" t="s">
        <v>219</v>
      </c>
      <c r="G1785" s="82">
        <v>3</v>
      </c>
      <c r="H1785" s="85"/>
      <c r="I1785" s="86">
        <v>2812.65</v>
      </c>
      <c r="J1785" s="185">
        <f t="shared" si="175"/>
        <v>1067.49</v>
      </c>
      <c r="K1785" s="189">
        <f t="shared" si="176"/>
        <v>3202.47</v>
      </c>
      <c r="L1785" s="189"/>
      <c r="M1785" s="138"/>
      <c r="N1785" s="138"/>
      <c r="O1785" s="138"/>
      <c r="S1785" s="72"/>
      <c r="T1785" s="72"/>
      <c r="U1785" s="72"/>
      <c r="V1785" s="72"/>
    </row>
    <row r="1786" spans="1:22" s="63" customFormat="1" ht="22.5" x14ac:dyDescent="0.25">
      <c r="A1786" s="87">
        <v>11.56</v>
      </c>
      <c r="B1786" s="81" t="s">
        <v>55</v>
      </c>
      <c r="C1786" s="80">
        <v>3.8</v>
      </c>
      <c r="D1786" s="131" t="s">
        <v>1559</v>
      </c>
      <c r="E1786" s="83" t="s">
        <v>1560</v>
      </c>
      <c r="F1786" s="81" t="s">
        <v>219</v>
      </c>
      <c r="G1786" s="82">
        <v>1</v>
      </c>
      <c r="H1786" s="85"/>
      <c r="I1786" s="86">
        <v>1716.86</v>
      </c>
      <c r="J1786" s="185">
        <f t="shared" si="175"/>
        <v>1954.82</v>
      </c>
      <c r="K1786" s="189">
        <f t="shared" si="176"/>
        <v>1954.82</v>
      </c>
      <c r="L1786" s="189"/>
      <c r="M1786" s="138"/>
      <c r="N1786" s="138"/>
      <c r="O1786" s="138"/>
      <c r="S1786" s="72"/>
      <c r="T1786" s="72"/>
      <c r="U1786" s="72"/>
      <c r="V1786" s="72"/>
    </row>
    <row r="1787" spans="1:22" s="63" customFormat="1" ht="22.5" x14ac:dyDescent="0.25">
      <c r="A1787" s="87">
        <v>11.57</v>
      </c>
      <c r="B1787" s="81" t="s">
        <v>55</v>
      </c>
      <c r="C1787" s="80">
        <v>3.9</v>
      </c>
      <c r="D1787" s="131" t="s">
        <v>1561</v>
      </c>
      <c r="E1787" s="83" t="s">
        <v>1562</v>
      </c>
      <c r="F1787" s="81" t="s">
        <v>219</v>
      </c>
      <c r="G1787" s="82">
        <v>2</v>
      </c>
      <c r="H1787" s="85"/>
      <c r="I1787" s="86">
        <v>2673.77</v>
      </c>
      <c r="J1787" s="185">
        <f t="shared" si="175"/>
        <v>1522.18</v>
      </c>
      <c r="K1787" s="189">
        <f t="shared" si="176"/>
        <v>3044.36</v>
      </c>
      <c r="L1787" s="189"/>
      <c r="M1787" s="138"/>
      <c r="N1787" s="138"/>
      <c r="O1787" s="138"/>
      <c r="S1787" s="72"/>
      <c r="T1787" s="72"/>
      <c r="U1787" s="72"/>
      <c r="V1787" s="72"/>
    </row>
    <row r="1788" spans="1:22" s="63" customFormat="1" ht="22.5" x14ac:dyDescent="0.25">
      <c r="A1788" s="87">
        <v>11.58</v>
      </c>
      <c r="B1788" s="81" t="s">
        <v>55</v>
      </c>
      <c r="C1788" s="87">
        <v>3.1</v>
      </c>
      <c r="D1788" s="131" t="s">
        <v>1563</v>
      </c>
      <c r="E1788" s="83" t="s">
        <v>1564</v>
      </c>
      <c r="F1788" s="81" t="s">
        <v>219</v>
      </c>
      <c r="G1788" s="82">
        <v>3</v>
      </c>
      <c r="H1788" s="85"/>
      <c r="I1788" s="86">
        <v>5554.97</v>
      </c>
      <c r="J1788" s="185">
        <f t="shared" si="175"/>
        <v>2108.3000000000002</v>
      </c>
      <c r="K1788" s="189">
        <f t="shared" si="176"/>
        <v>6324.9</v>
      </c>
      <c r="L1788" s="189"/>
      <c r="M1788" s="138"/>
      <c r="N1788" s="138"/>
      <c r="O1788" s="138"/>
      <c r="S1788" s="72"/>
      <c r="T1788" s="72"/>
      <c r="U1788" s="72"/>
      <c r="V1788" s="72"/>
    </row>
    <row r="1789" spans="1:22" s="63" customFormat="1" ht="22.5" x14ac:dyDescent="0.25">
      <c r="A1789" s="87">
        <v>11.59</v>
      </c>
      <c r="B1789" s="81" t="s">
        <v>55</v>
      </c>
      <c r="C1789" s="87">
        <v>3.11</v>
      </c>
      <c r="D1789" s="131" t="s">
        <v>1563</v>
      </c>
      <c r="E1789" s="83" t="s">
        <v>1565</v>
      </c>
      <c r="F1789" s="81" t="s">
        <v>219</v>
      </c>
      <c r="G1789" s="82">
        <v>1</v>
      </c>
      <c r="H1789" s="85"/>
      <c r="I1789" s="86">
        <v>1851.66</v>
      </c>
      <c r="J1789" s="185">
        <f t="shared" si="175"/>
        <v>2108.3000000000002</v>
      </c>
      <c r="K1789" s="189">
        <f t="shared" si="176"/>
        <v>2108.3000000000002</v>
      </c>
      <c r="L1789" s="189"/>
      <c r="M1789" s="138"/>
      <c r="N1789" s="138"/>
      <c r="O1789" s="138"/>
      <c r="S1789" s="72"/>
      <c r="T1789" s="72"/>
      <c r="U1789" s="72"/>
      <c r="V1789" s="72"/>
    </row>
    <row r="1790" spans="1:22" s="63" customFormat="1" ht="22.5" x14ac:dyDescent="0.25">
      <c r="A1790" s="87">
        <v>11.6</v>
      </c>
      <c r="B1790" s="81" t="s">
        <v>55</v>
      </c>
      <c r="C1790" s="87">
        <v>3.12</v>
      </c>
      <c r="D1790" s="131" t="s">
        <v>1566</v>
      </c>
      <c r="E1790" s="83" t="s">
        <v>1567</v>
      </c>
      <c r="F1790" s="81" t="s">
        <v>219</v>
      </c>
      <c r="G1790" s="82">
        <v>36</v>
      </c>
      <c r="H1790" s="85"/>
      <c r="I1790" s="86">
        <v>9574.42</v>
      </c>
      <c r="J1790" s="185">
        <f t="shared" si="175"/>
        <v>302.82</v>
      </c>
      <c r="K1790" s="189">
        <f t="shared" si="176"/>
        <v>10901.52</v>
      </c>
      <c r="L1790" s="189"/>
      <c r="M1790" s="138"/>
      <c r="N1790" s="138"/>
      <c r="O1790" s="138"/>
      <c r="S1790" s="72"/>
      <c r="T1790" s="72"/>
      <c r="U1790" s="72"/>
      <c r="V1790" s="72"/>
    </row>
    <row r="1791" spans="1:22" s="63" customFormat="1" ht="22.5" x14ac:dyDescent="0.25">
      <c r="A1791" s="87">
        <v>11.61</v>
      </c>
      <c r="B1791" s="81" t="s">
        <v>55</v>
      </c>
      <c r="C1791" s="87">
        <v>3.13</v>
      </c>
      <c r="D1791" s="131" t="s">
        <v>1568</v>
      </c>
      <c r="E1791" s="83" t="s">
        <v>1569</v>
      </c>
      <c r="F1791" s="81" t="s">
        <v>219</v>
      </c>
      <c r="G1791" s="82">
        <v>6</v>
      </c>
      <c r="H1791" s="85"/>
      <c r="I1791" s="86">
        <v>2206.3200000000002</v>
      </c>
      <c r="J1791" s="185">
        <f t="shared" si="175"/>
        <v>418.69</v>
      </c>
      <c r="K1791" s="189">
        <f t="shared" si="176"/>
        <v>2512.14</v>
      </c>
      <c r="L1791" s="189"/>
      <c r="M1791" s="138"/>
      <c r="N1791" s="138"/>
      <c r="O1791" s="138"/>
      <c r="S1791" s="72"/>
      <c r="T1791" s="72"/>
      <c r="U1791" s="72"/>
      <c r="V1791" s="72"/>
    </row>
    <row r="1792" spans="1:22" s="63" customFormat="1" ht="22.5" x14ac:dyDescent="0.25">
      <c r="A1792" s="87">
        <v>11.62</v>
      </c>
      <c r="B1792" s="81" t="s">
        <v>55</v>
      </c>
      <c r="C1792" s="87">
        <v>3.14</v>
      </c>
      <c r="D1792" s="131" t="s">
        <v>1570</v>
      </c>
      <c r="E1792" s="83" t="s">
        <v>1571</v>
      </c>
      <c r="F1792" s="81" t="s">
        <v>219</v>
      </c>
      <c r="G1792" s="82">
        <v>2</v>
      </c>
      <c r="H1792" s="85"/>
      <c r="I1792" s="86">
        <v>1117.6400000000001</v>
      </c>
      <c r="J1792" s="185">
        <f t="shared" si="175"/>
        <v>636.27</v>
      </c>
      <c r="K1792" s="189">
        <f t="shared" si="176"/>
        <v>1272.54</v>
      </c>
      <c r="L1792" s="189"/>
      <c r="M1792" s="138"/>
      <c r="N1792" s="138"/>
      <c r="O1792" s="138"/>
      <c r="S1792" s="72"/>
      <c r="T1792" s="72"/>
      <c r="U1792" s="72"/>
      <c r="V1792" s="72"/>
    </row>
    <row r="1793" spans="1:22" s="63" customFormat="1" ht="22.5" x14ac:dyDescent="0.25">
      <c r="A1793" s="87">
        <v>11.63</v>
      </c>
      <c r="B1793" s="81" t="s">
        <v>55</v>
      </c>
      <c r="C1793" s="87">
        <v>3.15</v>
      </c>
      <c r="D1793" s="131" t="s">
        <v>775</v>
      </c>
      <c r="E1793" s="83" t="s">
        <v>776</v>
      </c>
      <c r="F1793" s="81" t="s">
        <v>219</v>
      </c>
      <c r="G1793" s="82">
        <v>4</v>
      </c>
      <c r="H1793" s="85"/>
      <c r="I1793" s="86">
        <v>8399.06</v>
      </c>
      <c r="J1793" s="185">
        <f t="shared" si="175"/>
        <v>2390.79</v>
      </c>
      <c r="K1793" s="189">
        <f t="shared" si="176"/>
        <v>9563.16</v>
      </c>
      <c r="L1793" s="189"/>
      <c r="M1793" s="138"/>
      <c r="N1793" s="138"/>
      <c r="O1793" s="138"/>
      <c r="S1793" s="72"/>
      <c r="T1793" s="72"/>
      <c r="U1793" s="72"/>
      <c r="V1793" s="72"/>
    </row>
    <row r="1794" spans="1:22" s="128" customFormat="1" ht="12.75" x14ac:dyDescent="0.25">
      <c r="A1794" s="237"/>
      <c r="B1794" s="125"/>
      <c r="C1794" s="237"/>
      <c r="D1794" s="77"/>
      <c r="E1794" s="126" t="s">
        <v>3315</v>
      </c>
      <c r="F1794" s="125"/>
      <c r="G1794" s="76"/>
      <c r="H1794" s="127"/>
      <c r="I1794" s="78"/>
      <c r="J1794" s="238"/>
      <c r="K1794" s="239"/>
      <c r="L1794" s="239"/>
      <c r="M1794" s="79"/>
      <c r="N1794" s="79"/>
      <c r="O1794" s="79"/>
      <c r="S1794" s="129"/>
      <c r="T1794" s="129"/>
      <c r="U1794" s="129"/>
      <c r="V1794" s="129"/>
    </row>
    <row r="1795" spans="1:22" s="63" customFormat="1" ht="15" x14ac:dyDescent="0.25">
      <c r="A1795" s="87">
        <v>11.64</v>
      </c>
      <c r="B1795" s="81" t="s">
        <v>55</v>
      </c>
      <c r="C1795" s="82">
        <v>4</v>
      </c>
      <c r="D1795" s="131" t="s">
        <v>717</v>
      </c>
      <c r="E1795" s="83" t="s">
        <v>718</v>
      </c>
      <c r="F1795" s="81" t="s">
        <v>219</v>
      </c>
      <c r="G1795" s="82">
        <v>2</v>
      </c>
      <c r="H1795" s="85"/>
      <c r="I1795" s="86">
        <v>4373.9799999999996</v>
      </c>
      <c r="J1795" s="185">
        <f>ROUND($I1795/$G1795*$N$11,2)</f>
        <v>2490.11</v>
      </c>
      <c r="K1795" s="189">
        <f>ROUND(G1795*J1795,2)</f>
        <v>4980.22</v>
      </c>
      <c r="L1795" s="189"/>
      <c r="M1795" s="138"/>
      <c r="N1795" s="138"/>
      <c r="O1795" s="138"/>
      <c r="S1795" s="72"/>
      <c r="T1795" s="72"/>
      <c r="U1795" s="72"/>
      <c r="V1795" s="72"/>
    </row>
    <row r="1796" spans="1:22" s="63" customFormat="1" ht="22.5" x14ac:dyDescent="0.25">
      <c r="A1796" s="87">
        <v>11.65</v>
      </c>
      <c r="B1796" s="81" t="s">
        <v>55</v>
      </c>
      <c r="C1796" s="80">
        <v>4.0999999999999996</v>
      </c>
      <c r="D1796" s="131" t="s">
        <v>1572</v>
      </c>
      <c r="E1796" s="83" t="s">
        <v>1573</v>
      </c>
      <c r="F1796" s="81" t="s">
        <v>219</v>
      </c>
      <c r="G1796" s="82">
        <v>2</v>
      </c>
      <c r="H1796" s="85"/>
      <c r="I1796" s="86">
        <v>2134.75</v>
      </c>
      <c r="J1796" s="185">
        <f>ROUND($I1796/$G1796*$N$11,2)</f>
        <v>1215.31</v>
      </c>
      <c r="K1796" s="189">
        <f>ROUND(G1796*J1796,2)</f>
        <v>2430.62</v>
      </c>
      <c r="L1796" s="189"/>
      <c r="M1796" s="138"/>
      <c r="N1796" s="138"/>
      <c r="O1796" s="138"/>
      <c r="S1796" s="72"/>
      <c r="T1796" s="72"/>
      <c r="U1796" s="72"/>
      <c r="V1796" s="72"/>
    </row>
    <row r="1797" spans="1:22" s="128" customFormat="1" ht="12.75" x14ac:dyDescent="0.25">
      <c r="A1797" s="237"/>
      <c r="B1797" s="125"/>
      <c r="C1797" s="236"/>
      <c r="D1797" s="77"/>
      <c r="E1797" s="126" t="s">
        <v>3316</v>
      </c>
      <c r="F1797" s="125"/>
      <c r="G1797" s="76"/>
      <c r="H1797" s="127"/>
      <c r="I1797" s="78"/>
      <c r="J1797" s="238"/>
      <c r="K1797" s="239"/>
      <c r="L1797" s="239"/>
      <c r="M1797" s="79"/>
      <c r="N1797" s="79"/>
      <c r="O1797" s="79"/>
      <c r="S1797" s="129"/>
      <c r="T1797" s="129"/>
      <c r="U1797" s="129"/>
      <c r="V1797" s="129"/>
    </row>
    <row r="1798" spans="1:22" s="63" customFormat="1" ht="22.5" x14ac:dyDescent="0.25">
      <c r="A1798" s="87">
        <v>11.66</v>
      </c>
      <c r="B1798" s="81" t="s">
        <v>55</v>
      </c>
      <c r="C1798" s="82">
        <v>5</v>
      </c>
      <c r="D1798" s="131" t="s">
        <v>801</v>
      </c>
      <c r="E1798" s="83" t="s">
        <v>802</v>
      </c>
      <c r="F1798" s="81" t="s">
        <v>354</v>
      </c>
      <c r="G1798" s="82">
        <v>9</v>
      </c>
      <c r="H1798" s="85"/>
      <c r="I1798" s="86">
        <v>1074372.3799999999</v>
      </c>
      <c r="J1798" s="185">
        <f t="shared" ref="J1798:J1818" si="177">ROUND($I1798/$G1798*$N$11,2)</f>
        <v>135920.04</v>
      </c>
      <c r="K1798" s="189">
        <f t="shared" ref="K1798:K1818" si="178">ROUND(G1798*J1798,2)</f>
        <v>1223280.3600000001</v>
      </c>
      <c r="L1798" s="189"/>
      <c r="M1798" s="138"/>
      <c r="N1798" s="138"/>
      <c r="O1798" s="138"/>
      <c r="S1798" s="72"/>
      <c r="T1798" s="72"/>
      <c r="U1798" s="72"/>
      <c r="V1798" s="72"/>
    </row>
    <row r="1799" spans="1:22" s="63" customFormat="1" ht="15" x14ac:dyDescent="0.25">
      <c r="A1799" s="87">
        <v>11.67</v>
      </c>
      <c r="B1799" s="81" t="s">
        <v>55</v>
      </c>
      <c r="C1799" s="80">
        <v>5.0999999999999996</v>
      </c>
      <c r="D1799" s="131" t="s">
        <v>1574</v>
      </c>
      <c r="E1799" s="83" t="s">
        <v>3720</v>
      </c>
      <c r="F1799" s="81" t="s">
        <v>334</v>
      </c>
      <c r="G1799" s="80">
        <v>904.5</v>
      </c>
      <c r="H1799" s="85"/>
      <c r="I1799" s="86">
        <v>79859.350000000006</v>
      </c>
      <c r="J1799" s="185">
        <f t="shared" si="177"/>
        <v>100.53</v>
      </c>
      <c r="K1799" s="189">
        <f t="shared" si="178"/>
        <v>90929.39</v>
      </c>
      <c r="L1799" s="189"/>
      <c r="M1799" s="138"/>
      <c r="N1799" s="138"/>
      <c r="O1799" s="138"/>
      <c r="S1799" s="72"/>
      <c r="T1799" s="72"/>
      <c r="U1799" s="72"/>
      <c r="V1799" s="72"/>
    </row>
    <row r="1800" spans="1:22" s="63" customFormat="1" ht="22.5" x14ac:dyDescent="0.25">
      <c r="A1800" s="87">
        <v>11.68</v>
      </c>
      <c r="B1800" s="81" t="s">
        <v>55</v>
      </c>
      <c r="C1800" s="80">
        <v>5.2</v>
      </c>
      <c r="D1800" s="131" t="s">
        <v>1575</v>
      </c>
      <c r="E1800" s="83" t="s">
        <v>1576</v>
      </c>
      <c r="F1800" s="81" t="s">
        <v>566</v>
      </c>
      <c r="G1800" s="80">
        <v>128.69999999999999</v>
      </c>
      <c r="H1800" s="85"/>
      <c r="I1800" s="86">
        <v>54731.35</v>
      </c>
      <c r="J1800" s="185">
        <f t="shared" si="177"/>
        <v>484.2</v>
      </c>
      <c r="K1800" s="189">
        <f t="shared" si="178"/>
        <v>62316.54</v>
      </c>
      <c r="L1800" s="189"/>
      <c r="M1800" s="138"/>
      <c r="N1800" s="138"/>
      <c r="O1800" s="138"/>
      <c r="S1800" s="72"/>
      <c r="T1800" s="72"/>
      <c r="U1800" s="72"/>
      <c r="V1800" s="72"/>
    </row>
    <row r="1801" spans="1:22" s="63" customFormat="1" ht="22.5" x14ac:dyDescent="0.25">
      <c r="A1801" s="87">
        <v>11.69</v>
      </c>
      <c r="B1801" s="81" t="s">
        <v>55</v>
      </c>
      <c r="C1801" s="82">
        <v>6</v>
      </c>
      <c r="D1801" s="131" t="s">
        <v>798</v>
      </c>
      <c r="E1801" s="83" t="s">
        <v>799</v>
      </c>
      <c r="F1801" s="81" t="s">
        <v>354</v>
      </c>
      <c r="G1801" s="87">
        <v>2.12</v>
      </c>
      <c r="H1801" s="85"/>
      <c r="I1801" s="86">
        <v>212063.81</v>
      </c>
      <c r="J1801" s="185">
        <f t="shared" si="177"/>
        <v>113894.27</v>
      </c>
      <c r="K1801" s="189">
        <f t="shared" si="178"/>
        <v>241455.85</v>
      </c>
      <c r="L1801" s="189"/>
      <c r="M1801" s="138"/>
      <c r="N1801" s="138"/>
      <c r="O1801" s="138"/>
      <c r="S1801" s="72"/>
      <c r="T1801" s="72"/>
      <c r="U1801" s="72"/>
      <c r="V1801" s="72"/>
    </row>
    <row r="1802" spans="1:22" s="63" customFormat="1" ht="15" x14ac:dyDescent="0.25">
      <c r="A1802" s="87">
        <v>11.7</v>
      </c>
      <c r="B1802" s="81" t="s">
        <v>55</v>
      </c>
      <c r="C1802" s="80">
        <v>6.1</v>
      </c>
      <c r="D1802" s="131" t="s">
        <v>1577</v>
      </c>
      <c r="E1802" s="83" t="s">
        <v>3721</v>
      </c>
      <c r="F1802" s="81" t="s">
        <v>334</v>
      </c>
      <c r="G1802" s="84">
        <v>213.696</v>
      </c>
      <c r="H1802" s="85"/>
      <c r="I1802" s="86">
        <v>28641.29</v>
      </c>
      <c r="J1802" s="185">
        <f t="shared" si="177"/>
        <v>152.6</v>
      </c>
      <c r="K1802" s="189">
        <f t="shared" si="178"/>
        <v>32610.01</v>
      </c>
      <c r="L1802" s="189"/>
      <c r="M1802" s="138"/>
      <c r="N1802" s="138"/>
      <c r="O1802" s="138"/>
      <c r="S1802" s="72"/>
      <c r="T1802" s="72"/>
      <c r="U1802" s="72"/>
      <c r="V1802" s="72"/>
    </row>
    <row r="1803" spans="1:22" s="63" customFormat="1" ht="22.5" x14ac:dyDescent="0.25">
      <c r="A1803" s="87">
        <v>11.71</v>
      </c>
      <c r="B1803" s="81" t="s">
        <v>55</v>
      </c>
      <c r="C1803" s="80">
        <v>6.2</v>
      </c>
      <c r="D1803" s="131" t="s">
        <v>1575</v>
      </c>
      <c r="E1803" s="83" t="s">
        <v>1576</v>
      </c>
      <c r="F1803" s="81" t="s">
        <v>566</v>
      </c>
      <c r="G1803" s="80">
        <v>26.5</v>
      </c>
      <c r="H1803" s="85"/>
      <c r="I1803" s="86">
        <v>11269.52</v>
      </c>
      <c r="J1803" s="185">
        <f t="shared" si="177"/>
        <v>484.21</v>
      </c>
      <c r="K1803" s="189">
        <f t="shared" si="178"/>
        <v>12831.57</v>
      </c>
      <c r="L1803" s="189"/>
      <c r="M1803" s="138"/>
      <c r="N1803" s="138"/>
      <c r="O1803" s="138"/>
      <c r="S1803" s="72"/>
      <c r="T1803" s="72"/>
      <c r="U1803" s="72"/>
      <c r="V1803" s="72"/>
    </row>
    <row r="1804" spans="1:22" s="63" customFormat="1" ht="22.5" x14ac:dyDescent="0.25">
      <c r="A1804" s="87">
        <v>11.72</v>
      </c>
      <c r="B1804" s="81" t="s">
        <v>55</v>
      </c>
      <c r="C1804" s="82">
        <v>7</v>
      </c>
      <c r="D1804" s="131" t="s">
        <v>795</v>
      </c>
      <c r="E1804" s="83" t="s">
        <v>796</v>
      </c>
      <c r="F1804" s="81" t="s">
        <v>354</v>
      </c>
      <c r="G1804" s="87">
        <v>1.44</v>
      </c>
      <c r="H1804" s="85"/>
      <c r="I1804" s="86">
        <v>136535.70000000001</v>
      </c>
      <c r="J1804" s="185">
        <f t="shared" si="177"/>
        <v>107958.02</v>
      </c>
      <c r="K1804" s="189">
        <f t="shared" si="178"/>
        <v>155459.54999999999</v>
      </c>
      <c r="L1804" s="189"/>
      <c r="M1804" s="138"/>
      <c r="N1804" s="138"/>
      <c r="O1804" s="138"/>
      <c r="S1804" s="72"/>
      <c r="T1804" s="72"/>
      <c r="U1804" s="72"/>
      <c r="V1804" s="72"/>
    </row>
    <row r="1805" spans="1:22" s="63" customFormat="1" ht="15" x14ac:dyDescent="0.25">
      <c r="A1805" s="87">
        <v>11.73</v>
      </c>
      <c r="B1805" s="81" t="s">
        <v>55</v>
      </c>
      <c r="C1805" s="80">
        <v>7.1</v>
      </c>
      <c r="D1805" s="131" t="s">
        <v>1578</v>
      </c>
      <c r="E1805" s="83" t="s">
        <v>3722</v>
      </c>
      <c r="F1805" s="81" t="s">
        <v>334</v>
      </c>
      <c r="G1805" s="84">
        <v>145.584</v>
      </c>
      <c r="H1805" s="85"/>
      <c r="I1805" s="86">
        <v>32520.51</v>
      </c>
      <c r="J1805" s="185">
        <f t="shared" si="177"/>
        <v>254.34</v>
      </c>
      <c r="K1805" s="189">
        <f t="shared" si="178"/>
        <v>37027.83</v>
      </c>
      <c r="L1805" s="189"/>
      <c r="M1805" s="138"/>
      <c r="N1805" s="138"/>
      <c r="O1805" s="138"/>
      <c r="S1805" s="72"/>
      <c r="T1805" s="72"/>
      <c r="U1805" s="72"/>
      <c r="V1805" s="72"/>
    </row>
    <row r="1806" spans="1:22" s="63" customFormat="1" ht="22.5" x14ac:dyDescent="0.25">
      <c r="A1806" s="87">
        <v>11.74</v>
      </c>
      <c r="B1806" s="81" t="s">
        <v>55</v>
      </c>
      <c r="C1806" s="80">
        <v>7.2</v>
      </c>
      <c r="D1806" s="131" t="s">
        <v>1579</v>
      </c>
      <c r="E1806" s="83" t="s">
        <v>1580</v>
      </c>
      <c r="F1806" s="81" t="s">
        <v>566</v>
      </c>
      <c r="G1806" s="82">
        <v>16</v>
      </c>
      <c r="H1806" s="85"/>
      <c r="I1806" s="86">
        <v>7237.56</v>
      </c>
      <c r="J1806" s="185">
        <f t="shared" si="177"/>
        <v>515.04</v>
      </c>
      <c r="K1806" s="189">
        <f t="shared" si="178"/>
        <v>8240.64</v>
      </c>
      <c r="L1806" s="189"/>
      <c r="M1806" s="138"/>
      <c r="N1806" s="138"/>
      <c r="O1806" s="138"/>
      <c r="S1806" s="72"/>
      <c r="T1806" s="72"/>
      <c r="U1806" s="72"/>
      <c r="V1806" s="72"/>
    </row>
    <row r="1807" spans="1:22" s="63" customFormat="1" ht="22.5" x14ac:dyDescent="0.25">
      <c r="A1807" s="87">
        <v>11.75</v>
      </c>
      <c r="B1807" s="81" t="s">
        <v>55</v>
      </c>
      <c r="C1807" s="82">
        <v>8</v>
      </c>
      <c r="D1807" s="131" t="s">
        <v>791</v>
      </c>
      <c r="E1807" s="83" t="s">
        <v>792</v>
      </c>
      <c r="F1807" s="81" t="s">
        <v>354</v>
      </c>
      <c r="G1807" s="87">
        <v>0.36</v>
      </c>
      <c r="H1807" s="85"/>
      <c r="I1807" s="86">
        <v>30632.46</v>
      </c>
      <c r="J1807" s="185">
        <f t="shared" si="177"/>
        <v>96883.66</v>
      </c>
      <c r="K1807" s="189">
        <f t="shared" si="178"/>
        <v>34878.120000000003</v>
      </c>
      <c r="L1807" s="189"/>
      <c r="M1807" s="138"/>
      <c r="N1807" s="138"/>
      <c r="O1807" s="138"/>
      <c r="S1807" s="72"/>
      <c r="T1807" s="72"/>
      <c r="U1807" s="72"/>
      <c r="V1807" s="72"/>
    </row>
    <row r="1808" spans="1:22" s="63" customFormat="1" ht="15" x14ac:dyDescent="0.25">
      <c r="A1808" s="87">
        <v>11.76</v>
      </c>
      <c r="B1808" s="81" t="s">
        <v>55</v>
      </c>
      <c r="C1808" s="80">
        <v>8.1</v>
      </c>
      <c r="D1808" s="131" t="s">
        <v>1581</v>
      </c>
      <c r="E1808" s="83" t="s">
        <v>3723</v>
      </c>
      <c r="F1808" s="81" t="s">
        <v>334</v>
      </c>
      <c r="G1808" s="84">
        <v>36.432000000000002</v>
      </c>
      <c r="H1808" s="85"/>
      <c r="I1808" s="86">
        <v>13718.18</v>
      </c>
      <c r="J1808" s="185">
        <f t="shared" si="177"/>
        <v>428.73</v>
      </c>
      <c r="K1808" s="189">
        <f t="shared" si="178"/>
        <v>15619.49</v>
      </c>
      <c r="L1808" s="189"/>
      <c r="M1808" s="138"/>
      <c r="N1808" s="138"/>
      <c r="O1808" s="138"/>
      <c r="S1808" s="72"/>
      <c r="T1808" s="72"/>
      <c r="U1808" s="72"/>
      <c r="V1808" s="72"/>
    </row>
    <row r="1809" spans="1:22" s="63" customFormat="1" ht="22.5" x14ac:dyDescent="0.25">
      <c r="A1809" s="87">
        <v>11.77</v>
      </c>
      <c r="B1809" s="81" t="s">
        <v>55</v>
      </c>
      <c r="C1809" s="80">
        <v>8.1999999999999993</v>
      </c>
      <c r="D1809" s="131" t="s">
        <v>1582</v>
      </c>
      <c r="E1809" s="83" t="s">
        <v>1583</v>
      </c>
      <c r="F1809" s="81" t="s">
        <v>566</v>
      </c>
      <c r="G1809" s="80">
        <v>3.6</v>
      </c>
      <c r="H1809" s="85"/>
      <c r="I1809" s="86">
        <v>1667.75</v>
      </c>
      <c r="J1809" s="185">
        <f t="shared" si="177"/>
        <v>527.47</v>
      </c>
      <c r="K1809" s="189">
        <f t="shared" si="178"/>
        <v>1898.89</v>
      </c>
      <c r="L1809" s="189"/>
      <c r="M1809" s="138"/>
      <c r="N1809" s="138"/>
      <c r="O1809" s="138"/>
      <c r="S1809" s="72"/>
      <c r="T1809" s="72"/>
      <c r="U1809" s="72"/>
      <c r="V1809" s="72"/>
    </row>
    <row r="1810" spans="1:22" s="63" customFormat="1" ht="22.5" x14ac:dyDescent="0.25">
      <c r="A1810" s="87">
        <v>11.78</v>
      </c>
      <c r="B1810" s="81" t="s">
        <v>55</v>
      </c>
      <c r="C1810" s="82">
        <v>9</v>
      </c>
      <c r="D1810" s="131" t="s">
        <v>788</v>
      </c>
      <c r="E1810" s="83" t="s">
        <v>789</v>
      </c>
      <c r="F1810" s="81" t="s">
        <v>354</v>
      </c>
      <c r="G1810" s="87">
        <v>1.36</v>
      </c>
      <c r="H1810" s="85"/>
      <c r="I1810" s="86">
        <v>100903.38</v>
      </c>
      <c r="J1810" s="185">
        <f t="shared" si="177"/>
        <v>84476.9</v>
      </c>
      <c r="K1810" s="189">
        <f t="shared" si="178"/>
        <v>114888.58</v>
      </c>
      <c r="L1810" s="189"/>
      <c r="M1810" s="138"/>
      <c r="N1810" s="138"/>
      <c r="O1810" s="138"/>
      <c r="S1810" s="72"/>
      <c r="T1810" s="72"/>
      <c r="U1810" s="72"/>
      <c r="V1810" s="72"/>
    </row>
    <row r="1811" spans="1:22" s="63" customFormat="1" ht="15" x14ac:dyDescent="0.25">
      <c r="A1811" s="87">
        <v>11.79</v>
      </c>
      <c r="B1811" s="81" t="s">
        <v>55</v>
      </c>
      <c r="C1811" s="80">
        <v>9.1</v>
      </c>
      <c r="D1811" s="131" t="s">
        <v>1584</v>
      </c>
      <c r="E1811" s="83" t="s">
        <v>3724</v>
      </c>
      <c r="F1811" s="81" t="s">
        <v>334</v>
      </c>
      <c r="G1811" s="84">
        <v>137.22399999999999</v>
      </c>
      <c r="H1811" s="85"/>
      <c r="I1811" s="86">
        <v>68019.11</v>
      </c>
      <c r="J1811" s="185">
        <f t="shared" si="177"/>
        <v>564.38</v>
      </c>
      <c r="K1811" s="189">
        <f t="shared" si="178"/>
        <v>77446.48</v>
      </c>
      <c r="L1811" s="189"/>
      <c r="M1811" s="138"/>
      <c r="N1811" s="138"/>
      <c r="O1811" s="138"/>
      <c r="S1811" s="72"/>
      <c r="T1811" s="72"/>
      <c r="U1811" s="72"/>
      <c r="V1811" s="72"/>
    </row>
    <row r="1812" spans="1:22" s="63" customFormat="1" ht="22.5" x14ac:dyDescent="0.25">
      <c r="A1812" s="87">
        <v>11.8</v>
      </c>
      <c r="B1812" s="81" t="s">
        <v>55</v>
      </c>
      <c r="C1812" s="80">
        <v>9.1999999999999993</v>
      </c>
      <c r="D1812" s="131" t="s">
        <v>1585</v>
      </c>
      <c r="E1812" s="83" t="s">
        <v>1586</v>
      </c>
      <c r="F1812" s="81" t="s">
        <v>566</v>
      </c>
      <c r="G1812" s="80">
        <v>12.4</v>
      </c>
      <c r="H1812" s="85"/>
      <c r="I1812" s="86">
        <v>8611.82</v>
      </c>
      <c r="J1812" s="185">
        <f t="shared" si="177"/>
        <v>790.76</v>
      </c>
      <c r="K1812" s="189">
        <f t="shared" si="178"/>
        <v>9805.42</v>
      </c>
      <c r="L1812" s="189"/>
      <c r="M1812" s="138"/>
      <c r="N1812" s="138"/>
      <c r="O1812" s="138"/>
      <c r="S1812" s="72"/>
      <c r="T1812" s="72"/>
      <c r="U1812" s="72"/>
      <c r="V1812" s="72"/>
    </row>
    <row r="1813" spans="1:22" s="63" customFormat="1" ht="22.5" x14ac:dyDescent="0.25">
      <c r="A1813" s="87">
        <v>11.81</v>
      </c>
      <c r="B1813" s="81" t="s">
        <v>55</v>
      </c>
      <c r="C1813" s="82">
        <v>10</v>
      </c>
      <c r="D1813" s="131" t="s">
        <v>786</v>
      </c>
      <c r="E1813" s="83" t="s">
        <v>787</v>
      </c>
      <c r="F1813" s="81" t="s">
        <v>354</v>
      </c>
      <c r="G1813" s="87">
        <v>0.68</v>
      </c>
      <c r="H1813" s="85"/>
      <c r="I1813" s="86">
        <v>56451.35</v>
      </c>
      <c r="J1813" s="185">
        <f t="shared" si="177"/>
        <v>94522.8</v>
      </c>
      <c r="K1813" s="189">
        <f t="shared" si="178"/>
        <v>64275.5</v>
      </c>
      <c r="L1813" s="189"/>
      <c r="M1813" s="138"/>
      <c r="N1813" s="138"/>
      <c r="O1813" s="138"/>
      <c r="S1813" s="72"/>
      <c r="T1813" s="72"/>
      <c r="U1813" s="72"/>
      <c r="V1813" s="72"/>
    </row>
    <row r="1814" spans="1:22" s="63" customFormat="1" ht="15" x14ac:dyDescent="0.25">
      <c r="A1814" s="87">
        <v>11.82</v>
      </c>
      <c r="B1814" s="81" t="s">
        <v>55</v>
      </c>
      <c r="C1814" s="80">
        <v>10.1</v>
      </c>
      <c r="D1814" s="131" t="s">
        <v>1587</v>
      </c>
      <c r="E1814" s="83" t="s">
        <v>3725</v>
      </c>
      <c r="F1814" s="81" t="s">
        <v>334</v>
      </c>
      <c r="G1814" s="84">
        <v>68.475999999999999</v>
      </c>
      <c r="H1814" s="85"/>
      <c r="I1814" s="86">
        <v>59362.44</v>
      </c>
      <c r="J1814" s="185">
        <f t="shared" si="177"/>
        <v>987.06</v>
      </c>
      <c r="K1814" s="189">
        <f t="shared" si="178"/>
        <v>67589.919999999998</v>
      </c>
      <c r="L1814" s="189"/>
      <c r="M1814" s="138"/>
      <c r="N1814" s="138"/>
      <c r="O1814" s="138"/>
      <c r="S1814" s="72"/>
      <c r="T1814" s="72"/>
      <c r="U1814" s="72"/>
      <c r="V1814" s="72"/>
    </row>
    <row r="1815" spans="1:22" s="63" customFormat="1" ht="22.5" x14ac:dyDescent="0.25">
      <c r="A1815" s="87">
        <v>11.83</v>
      </c>
      <c r="B1815" s="81" t="s">
        <v>55</v>
      </c>
      <c r="C1815" s="80">
        <v>10.199999999999999</v>
      </c>
      <c r="D1815" s="131" t="s">
        <v>1588</v>
      </c>
      <c r="E1815" s="83" t="s">
        <v>1589</v>
      </c>
      <c r="F1815" s="81" t="s">
        <v>566</v>
      </c>
      <c r="G1815" s="80">
        <v>5.7</v>
      </c>
      <c r="H1815" s="85"/>
      <c r="I1815" s="86">
        <v>4679.49</v>
      </c>
      <c r="J1815" s="185">
        <f t="shared" si="177"/>
        <v>934.75</v>
      </c>
      <c r="K1815" s="189">
        <f t="shared" si="178"/>
        <v>5328.08</v>
      </c>
      <c r="L1815" s="189"/>
      <c r="M1815" s="138"/>
      <c r="N1815" s="138"/>
      <c r="O1815" s="138"/>
      <c r="S1815" s="72"/>
      <c r="T1815" s="72"/>
      <c r="U1815" s="72"/>
      <c r="V1815" s="72"/>
    </row>
    <row r="1816" spans="1:22" s="63" customFormat="1" ht="22.5" x14ac:dyDescent="0.25">
      <c r="A1816" s="87">
        <v>11.84</v>
      </c>
      <c r="B1816" s="81" t="s">
        <v>55</v>
      </c>
      <c r="C1816" s="82">
        <v>11</v>
      </c>
      <c r="D1816" s="131" t="s">
        <v>1590</v>
      </c>
      <c r="E1816" s="83" t="s">
        <v>1591</v>
      </c>
      <c r="F1816" s="81" t="s">
        <v>354</v>
      </c>
      <c r="G1816" s="87">
        <v>0.08</v>
      </c>
      <c r="H1816" s="85"/>
      <c r="I1816" s="86">
        <v>7580.88</v>
      </c>
      <c r="J1816" s="185">
        <f t="shared" si="177"/>
        <v>107894.87</v>
      </c>
      <c r="K1816" s="189">
        <f t="shared" si="178"/>
        <v>8631.59</v>
      </c>
      <c r="L1816" s="189"/>
      <c r="M1816" s="138"/>
      <c r="N1816" s="138"/>
      <c r="O1816" s="138"/>
      <c r="S1816" s="72"/>
      <c r="T1816" s="72"/>
      <c r="U1816" s="72"/>
      <c r="V1816" s="72"/>
    </row>
    <row r="1817" spans="1:22" s="63" customFormat="1" ht="15" x14ac:dyDescent="0.25">
      <c r="A1817" s="87">
        <v>11.85</v>
      </c>
      <c r="B1817" s="81" t="s">
        <v>55</v>
      </c>
      <c r="C1817" s="80">
        <v>11.1</v>
      </c>
      <c r="D1817" s="131" t="s">
        <v>1592</v>
      </c>
      <c r="E1817" s="83" t="s">
        <v>3726</v>
      </c>
      <c r="F1817" s="81" t="s">
        <v>334</v>
      </c>
      <c r="G1817" s="84">
        <v>8.032</v>
      </c>
      <c r="H1817" s="85"/>
      <c r="I1817" s="86">
        <v>9286.8799999999992</v>
      </c>
      <c r="J1817" s="185">
        <f t="shared" si="177"/>
        <v>1316.49</v>
      </c>
      <c r="K1817" s="189">
        <f t="shared" si="178"/>
        <v>10574.05</v>
      </c>
      <c r="L1817" s="189"/>
      <c r="M1817" s="138"/>
      <c r="N1817" s="138"/>
      <c r="O1817" s="138"/>
      <c r="S1817" s="72"/>
      <c r="T1817" s="72"/>
      <c r="U1817" s="72"/>
      <c r="V1817" s="72"/>
    </row>
    <row r="1818" spans="1:22" s="63" customFormat="1" ht="22.5" x14ac:dyDescent="0.25">
      <c r="A1818" s="87">
        <v>11.86</v>
      </c>
      <c r="B1818" s="81" t="s">
        <v>55</v>
      </c>
      <c r="C1818" s="80">
        <v>11.2</v>
      </c>
      <c r="D1818" s="131" t="s">
        <v>1588</v>
      </c>
      <c r="E1818" s="83" t="s">
        <v>1589</v>
      </c>
      <c r="F1818" s="81" t="s">
        <v>566</v>
      </c>
      <c r="G1818" s="80">
        <v>0.6</v>
      </c>
      <c r="H1818" s="85"/>
      <c r="I1818" s="86">
        <v>492.57</v>
      </c>
      <c r="J1818" s="185">
        <f t="shared" si="177"/>
        <v>934.73</v>
      </c>
      <c r="K1818" s="189">
        <f t="shared" si="178"/>
        <v>560.84</v>
      </c>
      <c r="L1818" s="189"/>
      <c r="M1818" s="138"/>
      <c r="N1818" s="138"/>
      <c r="O1818" s="138"/>
      <c r="S1818" s="72"/>
      <c r="T1818" s="72"/>
      <c r="U1818" s="72"/>
      <c r="V1818" s="72"/>
    </row>
    <row r="1819" spans="1:22" s="128" customFormat="1" ht="12.75" x14ac:dyDescent="0.25">
      <c r="A1819" s="237"/>
      <c r="B1819" s="125"/>
      <c r="C1819" s="236"/>
      <c r="D1819" s="77"/>
      <c r="E1819" s="126" t="s">
        <v>3317</v>
      </c>
      <c r="F1819" s="125"/>
      <c r="G1819" s="236"/>
      <c r="H1819" s="127"/>
      <c r="I1819" s="78"/>
      <c r="J1819" s="238"/>
      <c r="K1819" s="239"/>
      <c r="L1819" s="239"/>
      <c r="M1819" s="79"/>
      <c r="N1819" s="79"/>
      <c r="O1819" s="79"/>
      <c r="S1819" s="129"/>
      <c r="T1819" s="129"/>
      <c r="U1819" s="129"/>
      <c r="V1819" s="129"/>
    </row>
    <row r="1820" spans="1:22" s="63" customFormat="1" ht="22.5" x14ac:dyDescent="0.25">
      <c r="A1820" s="87">
        <v>11.87</v>
      </c>
      <c r="B1820" s="81" t="s">
        <v>55</v>
      </c>
      <c r="C1820" s="82">
        <v>12</v>
      </c>
      <c r="D1820" s="131" t="s">
        <v>770</v>
      </c>
      <c r="E1820" s="83" t="s">
        <v>771</v>
      </c>
      <c r="F1820" s="81" t="s">
        <v>772</v>
      </c>
      <c r="G1820" s="80">
        <v>165.5</v>
      </c>
      <c r="H1820" s="85"/>
      <c r="I1820" s="86">
        <v>776480.72</v>
      </c>
      <c r="J1820" s="185">
        <f t="shared" ref="J1820:J1832" si="179">ROUND($I1820/$G1820*$N$11,2)</f>
        <v>5342</v>
      </c>
      <c r="K1820" s="189">
        <f t="shared" ref="K1820:K1832" si="180">ROUND(G1820*J1820,2)</f>
        <v>884101</v>
      </c>
      <c r="L1820" s="189"/>
      <c r="M1820" s="138"/>
      <c r="N1820" s="138"/>
      <c r="O1820" s="138"/>
      <c r="S1820" s="72"/>
      <c r="T1820" s="72"/>
      <c r="U1820" s="72"/>
      <c r="V1820" s="72"/>
    </row>
    <row r="1821" spans="1:22" s="63" customFormat="1" ht="22.5" x14ac:dyDescent="0.25">
      <c r="A1821" s="87">
        <v>11.88</v>
      </c>
      <c r="B1821" s="81" t="s">
        <v>55</v>
      </c>
      <c r="C1821" s="80">
        <v>12.1</v>
      </c>
      <c r="D1821" s="131" t="s">
        <v>1593</v>
      </c>
      <c r="E1821" s="83" t="s">
        <v>1594</v>
      </c>
      <c r="F1821" s="81" t="s">
        <v>334</v>
      </c>
      <c r="G1821" s="80">
        <v>9.9</v>
      </c>
      <c r="H1821" s="85"/>
      <c r="I1821" s="86">
        <v>9928.82</v>
      </c>
      <c r="J1821" s="185">
        <f t="shared" si="179"/>
        <v>1141.9100000000001</v>
      </c>
      <c r="K1821" s="189">
        <f t="shared" si="180"/>
        <v>11304.91</v>
      </c>
      <c r="L1821" s="189"/>
      <c r="M1821" s="138"/>
      <c r="N1821" s="138"/>
      <c r="O1821" s="138"/>
      <c r="S1821" s="72"/>
      <c r="T1821" s="72"/>
      <c r="U1821" s="72"/>
      <c r="V1821" s="72"/>
    </row>
    <row r="1822" spans="1:22" s="63" customFormat="1" ht="22.5" x14ac:dyDescent="0.25">
      <c r="A1822" s="87">
        <v>11.89</v>
      </c>
      <c r="B1822" s="81" t="s">
        <v>55</v>
      </c>
      <c r="C1822" s="80">
        <v>12.2</v>
      </c>
      <c r="D1822" s="131" t="s">
        <v>1595</v>
      </c>
      <c r="E1822" s="83" t="s">
        <v>1596</v>
      </c>
      <c r="F1822" s="81" t="s">
        <v>334</v>
      </c>
      <c r="G1822" s="80">
        <v>82.5</v>
      </c>
      <c r="H1822" s="85"/>
      <c r="I1822" s="86">
        <v>71794.8</v>
      </c>
      <c r="J1822" s="185">
        <f t="shared" si="179"/>
        <v>990.86</v>
      </c>
      <c r="K1822" s="189">
        <f t="shared" si="180"/>
        <v>81745.95</v>
      </c>
      <c r="L1822" s="189"/>
      <c r="M1822" s="138"/>
      <c r="N1822" s="138"/>
      <c r="O1822" s="138"/>
      <c r="S1822" s="72"/>
      <c r="T1822" s="72"/>
      <c r="U1822" s="72"/>
      <c r="V1822" s="72"/>
    </row>
    <row r="1823" spans="1:22" s="63" customFormat="1" ht="22.5" x14ac:dyDescent="0.25">
      <c r="A1823" s="87">
        <v>11.9</v>
      </c>
      <c r="B1823" s="81" t="s">
        <v>55</v>
      </c>
      <c r="C1823" s="80">
        <v>12.3</v>
      </c>
      <c r="D1823" s="131" t="s">
        <v>1597</v>
      </c>
      <c r="E1823" s="83" t="s">
        <v>1598</v>
      </c>
      <c r="F1823" s="81" t="s">
        <v>334</v>
      </c>
      <c r="G1823" s="82">
        <v>165</v>
      </c>
      <c r="H1823" s="85"/>
      <c r="I1823" s="86">
        <v>135853.34</v>
      </c>
      <c r="J1823" s="185">
        <f t="shared" si="179"/>
        <v>937.47</v>
      </c>
      <c r="K1823" s="189">
        <f t="shared" si="180"/>
        <v>154682.54999999999</v>
      </c>
      <c r="L1823" s="189"/>
      <c r="M1823" s="138"/>
      <c r="N1823" s="138"/>
      <c r="O1823" s="138"/>
      <c r="S1823" s="72"/>
      <c r="T1823" s="72"/>
      <c r="U1823" s="72"/>
      <c r="V1823" s="72"/>
    </row>
    <row r="1824" spans="1:22" s="63" customFormat="1" ht="22.5" x14ac:dyDescent="0.25">
      <c r="A1824" s="87">
        <v>11.91</v>
      </c>
      <c r="B1824" s="81" t="s">
        <v>55</v>
      </c>
      <c r="C1824" s="80">
        <v>12.4</v>
      </c>
      <c r="D1824" s="131" t="s">
        <v>1599</v>
      </c>
      <c r="E1824" s="83" t="s">
        <v>1600</v>
      </c>
      <c r="F1824" s="81" t="s">
        <v>334</v>
      </c>
      <c r="G1824" s="80">
        <v>48.4</v>
      </c>
      <c r="H1824" s="85"/>
      <c r="I1824" s="86">
        <v>34361.870000000003</v>
      </c>
      <c r="J1824" s="185">
        <f t="shared" si="179"/>
        <v>808.36</v>
      </c>
      <c r="K1824" s="189">
        <f t="shared" si="180"/>
        <v>39124.620000000003</v>
      </c>
      <c r="L1824" s="189"/>
      <c r="M1824" s="138"/>
      <c r="N1824" s="138"/>
      <c r="O1824" s="138"/>
      <c r="S1824" s="72"/>
      <c r="T1824" s="72"/>
      <c r="U1824" s="72"/>
      <c r="V1824" s="72"/>
    </row>
    <row r="1825" spans="1:22" s="63" customFormat="1" ht="22.5" x14ac:dyDescent="0.25">
      <c r="A1825" s="87">
        <v>11.92</v>
      </c>
      <c r="B1825" s="81" t="s">
        <v>55</v>
      </c>
      <c r="C1825" s="80">
        <v>12.5</v>
      </c>
      <c r="D1825" s="131" t="s">
        <v>1601</v>
      </c>
      <c r="E1825" s="83" t="s">
        <v>1602</v>
      </c>
      <c r="F1825" s="81" t="s">
        <v>334</v>
      </c>
      <c r="G1825" s="80">
        <v>36.299999999999997</v>
      </c>
      <c r="H1825" s="85"/>
      <c r="I1825" s="86">
        <v>23769.63</v>
      </c>
      <c r="J1825" s="185">
        <f t="shared" si="179"/>
        <v>745.57</v>
      </c>
      <c r="K1825" s="189">
        <f t="shared" si="180"/>
        <v>27064.19</v>
      </c>
      <c r="L1825" s="189"/>
      <c r="M1825" s="138"/>
      <c r="N1825" s="138"/>
      <c r="O1825" s="138"/>
      <c r="S1825" s="72"/>
      <c r="T1825" s="72"/>
      <c r="U1825" s="72"/>
      <c r="V1825" s="72"/>
    </row>
    <row r="1826" spans="1:22" s="63" customFormat="1" ht="22.5" x14ac:dyDescent="0.25">
      <c r="A1826" s="87">
        <v>11.93</v>
      </c>
      <c r="B1826" s="81" t="s">
        <v>55</v>
      </c>
      <c r="C1826" s="80">
        <v>12.6</v>
      </c>
      <c r="D1826" s="131" t="s">
        <v>1603</v>
      </c>
      <c r="E1826" s="83" t="s">
        <v>1604</v>
      </c>
      <c r="F1826" s="81" t="s">
        <v>334</v>
      </c>
      <c r="G1826" s="80">
        <v>74.8</v>
      </c>
      <c r="H1826" s="85"/>
      <c r="I1826" s="86">
        <v>43393.72</v>
      </c>
      <c r="J1826" s="185">
        <f t="shared" si="179"/>
        <v>660.54</v>
      </c>
      <c r="K1826" s="189">
        <f t="shared" si="180"/>
        <v>49408.39</v>
      </c>
      <c r="L1826" s="189"/>
      <c r="M1826" s="138"/>
      <c r="N1826" s="138"/>
      <c r="O1826" s="138"/>
      <c r="S1826" s="72"/>
      <c r="T1826" s="72"/>
      <c r="U1826" s="72"/>
      <c r="V1826" s="72"/>
    </row>
    <row r="1827" spans="1:22" s="63" customFormat="1" ht="22.5" x14ac:dyDescent="0.25">
      <c r="A1827" s="87">
        <v>11.94</v>
      </c>
      <c r="B1827" s="81" t="s">
        <v>55</v>
      </c>
      <c r="C1827" s="80">
        <v>12.7</v>
      </c>
      <c r="D1827" s="131" t="s">
        <v>1605</v>
      </c>
      <c r="E1827" s="83" t="s">
        <v>1606</v>
      </c>
      <c r="F1827" s="81" t="s">
        <v>772</v>
      </c>
      <c r="G1827" s="80">
        <v>4.4000000000000004</v>
      </c>
      <c r="H1827" s="85"/>
      <c r="I1827" s="86">
        <v>20251.02</v>
      </c>
      <c r="J1827" s="185">
        <f t="shared" si="179"/>
        <v>5240.41</v>
      </c>
      <c r="K1827" s="189">
        <f t="shared" si="180"/>
        <v>23057.8</v>
      </c>
      <c r="L1827" s="189"/>
      <c r="M1827" s="138"/>
      <c r="N1827" s="138"/>
      <c r="O1827" s="138"/>
      <c r="S1827" s="72"/>
      <c r="T1827" s="72"/>
      <c r="U1827" s="72"/>
      <c r="V1827" s="72"/>
    </row>
    <row r="1828" spans="1:22" s="63" customFormat="1" ht="22.5" x14ac:dyDescent="0.25">
      <c r="A1828" s="87">
        <v>11.95</v>
      </c>
      <c r="B1828" s="81" t="s">
        <v>55</v>
      </c>
      <c r="C1828" s="80">
        <v>12.8</v>
      </c>
      <c r="D1828" s="131" t="s">
        <v>1607</v>
      </c>
      <c r="E1828" s="83" t="s">
        <v>1608</v>
      </c>
      <c r="F1828" s="81" t="s">
        <v>772</v>
      </c>
      <c r="G1828" s="87">
        <v>12.54</v>
      </c>
      <c r="H1828" s="85"/>
      <c r="I1828" s="86">
        <v>45889.440000000002</v>
      </c>
      <c r="J1828" s="185">
        <f t="shared" si="179"/>
        <v>4166.6400000000003</v>
      </c>
      <c r="K1828" s="189">
        <f t="shared" si="180"/>
        <v>52249.67</v>
      </c>
      <c r="L1828" s="189"/>
      <c r="M1828" s="138"/>
      <c r="N1828" s="138"/>
      <c r="O1828" s="138"/>
      <c r="S1828" s="72"/>
      <c r="T1828" s="72"/>
      <c r="U1828" s="72"/>
      <c r="V1828" s="72"/>
    </row>
    <row r="1829" spans="1:22" s="63" customFormat="1" ht="22.5" x14ac:dyDescent="0.25">
      <c r="A1829" s="87">
        <v>11.96</v>
      </c>
      <c r="B1829" s="81" t="s">
        <v>55</v>
      </c>
      <c r="C1829" s="80">
        <v>12.9</v>
      </c>
      <c r="D1829" s="131" t="s">
        <v>1609</v>
      </c>
      <c r="E1829" s="83" t="s">
        <v>1610</v>
      </c>
      <c r="F1829" s="81" t="s">
        <v>772</v>
      </c>
      <c r="G1829" s="82">
        <v>22</v>
      </c>
      <c r="H1829" s="85"/>
      <c r="I1829" s="86">
        <v>70876.61</v>
      </c>
      <c r="J1829" s="185">
        <f t="shared" si="179"/>
        <v>3668.19</v>
      </c>
      <c r="K1829" s="189">
        <f t="shared" si="180"/>
        <v>80700.179999999993</v>
      </c>
      <c r="L1829" s="189"/>
      <c r="M1829" s="138"/>
      <c r="N1829" s="138"/>
      <c r="O1829" s="138"/>
      <c r="S1829" s="72"/>
      <c r="T1829" s="72"/>
      <c r="U1829" s="72"/>
      <c r="V1829" s="72"/>
    </row>
    <row r="1830" spans="1:22" s="63" customFormat="1" ht="22.5" x14ac:dyDescent="0.25">
      <c r="A1830" s="87">
        <v>11.97</v>
      </c>
      <c r="B1830" s="81" t="s">
        <v>55</v>
      </c>
      <c r="C1830" s="87">
        <v>12.1</v>
      </c>
      <c r="D1830" s="131" t="s">
        <v>1611</v>
      </c>
      <c r="E1830" s="83" t="s">
        <v>1612</v>
      </c>
      <c r="F1830" s="81" t="s">
        <v>772</v>
      </c>
      <c r="G1830" s="87">
        <v>101.42</v>
      </c>
      <c r="H1830" s="85"/>
      <c r="I1830" s="86">
        <v>254422.21</v>
      </c>
      <c r="J1830" s="185">
        <f t="shared" si="179"/>
        <v>2856.29</v>
      </c>
      <c r="K1830" s="189">
        <f t="shared" si="180"/>
        <v>289684.93</v>
      </c>
      <c r="L1830" s="189"/>
      <c r="M1830" s="138"/>
      <c r="N1830" s="138"/>
      <c r="O1830" s="138"/>
      <c r="S1830" s="72"/>
      <c r="T1830" s="72"/>
      <c r="U1830" s="72"/>
      <c r="V1830" s="72"/>
    </row>
    <row r="1831" spans="1:22" s="63" customFormat="1" ht="22.5" x14ac:dyDescent="0.25">
      <c r="A1831" s="87">
        <v>11.98</v>
      </c>
      <c r="B1831" s="81" t="s">
        <v>55</v>
      </c>
      <c r="C1831" s="87">
        <v>12.11</v>
      </c>
      <c r="D1831" s="131" t="s">
        <v>1613</v>
      </c>
      <c r="E1831" s="83" t="s">
        <v>1614</v>
      </c>
      <c r="F1831" s="81" t="s">
        <v>334</v>
      </c>
      <c r="G1831" s="82">
        <v>20</v>
      </c>
      <c r="H1831" s="85"/>
      <c r="I1831" s="86">
        <v>8254.85</v>
      </c>
      <c r="J1831" s="185">
        <f t="shared" si="179"/>
        <v>469.95</v>
      </c>
      <c r="K1831" s="189">
        <f t="shared" si="180"/>
        <v>9399</v>
      </c>
      <c r="L1831" s="189"/>
      <c r="M1831" s="138"/>
      <c r="N1831" s="138"/>
      <c r="O1831" s="138"/>
      <c r="S1831" s="72"/>
      <c r="T1831" s="72"/>
      <c r="U1831" s="72"/>
      <c r="V1831" s="72"/>
    </row>
    <row r="1832" spans="1:22" s="63" customFormat="1" ht="22.5" x14ac:dyDescent="0.25">
      <c r="A1832" s="87">
        <v>11.99</v>
      </c>
      <c r="B1832" s="81" t="s">
        <v>55</v>
      </c>
      <c r="C1832" s="82">
        <v>13</v>
      </c>
      <c r="D1832" s="131" t="s">
        <v>1615</v>
      </c>
      <c r="E1832" s="83" t="s">
        <v>1616</v>
      </c>
      <c r="F1832" s="81" t="s">
        <v>219</v>
      </c>
      <c r="G1832" s="82">
        <v>40</v>
      </c>
      <c r="H1832" s="85"/>
      <c r="I1832" s="86">
        <v>86879.45</v>
      </c>
      <c r="J1832" s="185">
        <f t="shared" si="179"/>
        <v>2473.02</v>
      </c>
      <c r="K1832" s="189">
        <f t="shared" si="180"/>
        <v>98920.8</v>
      </c>
      <c r="L1832" s="189"/>
      <c r="M1832" s="138"/>
      <c r="N1832" s="138"/>
      <c r="O1832" s="138"/>
      <c r="S1832" s="72"/>
      <c r="T1832" s="72"/>
      <c r="U1832" s="72"/>
      <c r="V1832" s="72"/>
    </row>
    <row r="1833" spans="1:22" s="128" customFormat="1" ht="12.75" x14ac:dyDescent="0.25">
      <c r="A1833" s="237"/>
      <c r="B1833" s="125"/>
      <c r="C1833" s="76"/>
      <c r="D1833" s="77"/>
      <c r="E1833" s="126" t="s">
        <v>3318</v>
      </c>
      <c r="F1833" s="125"/>
      <c r="G1833" s="76"/>
      <c r="H1833" s="127"/>
      <c r="I1833" s="78"/>
      <c r="J1833" s="238"/>
      <c r="K1833" s="239"/>
      <c r="L1833" s="239"/>
      <c r="M1833" s="79"/>
      <c r="N1833" s="79"/>
      <c r="O1833" s="79"/>
      <c r="S1833" s="129"/>
      <c r="T1833" s="129"/>
      <c r="U1833" s="129"/>
      <c r="V1833" s="129"/>
    </row>
    <row r="1834" spans="1:22" s="63" customFormat="1" ht="22.5" x14ac:dyDescent="0.25">
      <c r="A1834" s="84">
        <v>11.1</v>
      </c>
      <c r="B1834" s="81" t="s">
        <v>55</v>
      </c>
      <c r="C1834" s="82">
        <v>14</v>
      </c>
      <c r="D1834" s="131" t="s">
        <v>1617</v>
      </c>
      <c r="E1834" s="83" t="s">
        <v>1618</v>
      </c>
      <c r="F1834" s="81" t="s">
        <v>219</v>
      </c>
      <c r="G1834" s="82">
        <v>4</v>
      </c>
      <c r="H1834" s="85"/>
      <c r="I1834" s="86">
        <v>21905.85</v>
      </c>
      <c r="J1834" s="185">
        <f t="shared" ref="J1834:J1846" si="181">ROUND($I1834/$G1834*$N$11,2)</f>
        <v>6235.5</v>
      </c>
      <c r="K1834" s="189">
        <f t="shared" ref="K1834:K1846" si="182">ROUND(G1834*J1834,2)</f>
        <v>24942</v>
      </c>
      <c r="L1834" s="189"/>
      <c r="M1834" s="138"/>
      <c r="N1834" s="138"/>
      <c r="O1834" s="138"/>
      <c r="S1834" s="72"/>
      <c r="T1834" s="72"/>
      <c r="U1834" s="72"/>
      <c r="V1834" s="72"/>
    </row>
    <row r="1835" spans="1:22" s="63" customFormat="1" ht="22.5" x14ac:dyDescent="0.25">
      <c r="A1835" s="84">
        <v>11.101000000000001</v>
      </c>
      <c r="B1835" s="81" t="s">
        <v>55</v>
      </c>
      <c r="C1835" s="80">
        <v>14.1</v>
      </c>
      <c r="D1835" s="131" t="s">
        <v>1619</v>
      </c>
      <c r="E1835" s="83" t="s">
        <v>3727</v>
      </c>
      <c r="F1835" s="81" t="s">
        <v>1512</v>
      </c>
      <c r="G1835" s="82">
        <v>4</v>
      </c>
      <c r="H1835" s="85"/>
      <c r="I1835" s="86">
        <v>194127.63</v>
      </c>
      <c r="J1835" s="185">
        <f t="shared" si="181"/>
        <v>55258.43</v>
      </c>
      <c r="K1835" s="189">
        <f t="shared" si="182"/>
        <v>221033.72</v>
      </c>
      <c r="L1835" s="189"/>
      <c r="M1835" s="138"/>
      <c r="N1835" s="138"/>
      <c r="O1835" s="138"/>
      <c r="S1835" s="72"/>
      <c r="T1835" s="72"/>
      <c r="U1835" s="72"/>
      <c r="V1835" s="72"/>
    </row>
    <row r="1836" spans="1:22" s="63" customFormat="1" ht="22.5" x14ac:dyDescent="0.25">
      <c r="A1836" s="84">
        <v>11.102</v>
      </c>
      <c r="B1836" s="81" t="s">
        <v>55</v>
      </c>
      <c r="C1836" s="82">
        <v>15</v>
      </c>
      <c r="D1836" s="131" t="s">
        <v>1620</v>
      </c>
      <c r="E1836" s="83" t="s">
        <v>1621</v>
      </c>
      <c r="F1836" s="81" t="s">
        <v>354</v>
      </c>
      <c r="G1836" s="82">
        <v>29</v>
      </c>
      <c r="H1836" s="85"/>
      <c r="I1836" s="86">
        <v>1385969.47</v>
      </c>
      <c r="J1836" s="185">
        <f t="shared" si="181"/>
        <v>54416.03</v>
      </c>
      <c r="K1836" s="189">
        <f t="shared" si="182"/>
        <v>1578064.87</v>
      </c>
      <c r="L1836" s="189"/>
      <c r="M1836" s="138"/>
      <c r="N1836" s="138"/>
      <c r="O1836" s="138"/>
      <c r="S1836" s="72"/>
      <c r="T1836" s="72"/>
      <c r="U1836" s="72"/>
      <c r="V1836" s="72"/>
    </row>
    <row r="1837" spans="1:22" s="63" customFormat="1" ht="22.5" x14ac:dyDescent="0.25">
      <c r="A1837" s="84">
        <v>11.103</v>
      </c>
      <c r="B1837" s="81" t="s">
        <v>55</v>
      </c>
      <c r="C1837" s="80">
        <v>15.1</v>
      </c>
      <c r="D1837" s="131" t="s">
        <v>1622</v>
      </c>
      <c r="E1837" s="83" t="s">
        <v>1623</v>
      </c>
      <c r="F1837" s="81" t="s">
        <v>772</v>
      </c>
      <c r="G1837" s="87">
        <v>291.45</v>
      </c>
      <c r="H1837" s="85"/>
      <c r="I1837" s="86">
        <v>255184.29</v>
      </c>
      <c r="J1837" s="185">
        <f t="shared" si="181"/>
        <v>996.92</v>
      </c>
      <c r="K1837" s="189">
        <f t="shared" si="182"/>
        <v>290552.33</v>
      </c>
      <c r="L1837" s="189"/>
      <c r="M1837" s="138"/>
      <c r="N1837" s="138"/>
      <c r="O1837" s="138"/>
      <c r="S1837" s="72"/>
      <c r="T1837" s="72"/>
      <c r="U1837" s="72"/>
      <c r="V1837" s="72"/>
    </row>
    <row r="1838" spans="1:22" s="63" customFormat="1" ht="22.5" x14ac:dyDescent="0.25">
      <c r="A1838" s="84">
        <v>11.103999999999999</v>
      </c>
      <c r="B1838" s="81" t="s">
        <v>55</v>
      </c>
      <c r="C1838" s="80">
        <v>15.2</v>
      </c>
      <c r="D1838" s="131" t="s">
        <v>1624</v>
      </c>
      <c r="E1838" s="83" t="s">
        <v>3728</v>
      </c>
      <c r="F1838" s="81" t="s">
        <v>1512</v>
      </c>
      <c r="G1838" s="82">
        <v>40</v>
      </c>
      <c r="H1838" s="85"/>
      <c r="I1838" s="86">
        <v>8254.23</v>
      </c>
      <c r="J1838" s="185">
        <f t="shared" si="181"/>
        <v>234.96</v>
      </c>
      <c r="K1838" s="189">
        <f t="shared" si="182"/>
        <v>9398.4</v>
      </c>
      <c r="L1838" s="189"/>
      <c r="M1838" s="138"/>
      <c r="N1838" s="138"/>
      <c r="O1838" s="138"/>
      <c r="S1838" s="72"/>
      <c r="T1838" s="72"/>
      <c r="U1838" s="72"/>
      <c r="V1838" s="72"/>
    </row>
    <row r="1839" spans="1:22" s="63" customFormat="1" ht="22.5" x14ac:dyDescent="0.25">
      <c r="A1839" s="84">
        <v>11.105</v>
      </c>
      <c r="B1839" s="81" t="s">
        <v>55</v>
      </c>
      <c r="C1839" s="80">
        <v>15.3</v>
      </c>
      <c r="D1839" s="131" t="s">
        <v>1625</v>
      </c>
      <c r="E1839" s="83" t="s">
        <v>1626</v>
      </c>
      <c r="F1839" s="81" t="s">
        <v>216</v>
      </c>
      <c r="G1839" s="80">
        <v>0.4</v>
      </c>
      <c r="H1839" s="85"/>
      <c r="I1839" s="86">
        <v>1633.92</v>
      </c>
      <c r="J1839" s="185">
        <f t="shared" si="181"/>
        <v>4650.95</v>
      </c>
      <c r="K1839" s="189">
        <f t="shared" si="182"/>
        <v>1860.38</v>
      </c>
      <c r="L1839" s="189"/>
      <c r="M1839" s="138"/>
      <c r="N1839" s="138"/>
      <c r="O1839" s="138"/>
      <c r="S1839" s="72"/>
      <c r="T1839" s="72"/>
      <c r="U1839" s="72"/>
      <c r="V1839" s="72"/>
    </row>
    <row r="1840" spans="1:22" s="63" customFormat="1" ht="15" x14ac:dyDescent="0.25">
      <c r="A1840" s="84">
        <v>11.106</v>
      </c>
      <c r="B1840" s="81" t="s">
        <v>55</v>
      </c>
      <c r="C1840" s="82">
        <v>16</v>
      </c>
      <c r="D1840" s="131" t="s">
        <v>1364</v>
      </c>
      <c r="E1840" s="83" t="s">
        <v>1365</v>
      </c>
      <c r="F1840" s="81" t="s">
        <v>354</v>
      </c>
      <c r="G1840" s="80">
        <v>5.6</v>
      </c>
      <c r="H1840" s="85"/>
      <c r="I1840" s="86">
        <v>94345.91</v>
      </c>
      <c r="J1840" s="185">
        <f t="shared" si="181"/>
        <v>19182.55</v>
      </c>
      <c r="K1840" s="189">
        <f t="shared" si="182"/>
        <v>107422.28</v>
      </c>
      <c r="L1840" s="189"/>
      <c r="M1840" s="138"/>
      <c r="N1840" s="138"/>
      <c r="O1840" s="138"/>
      <c r="S1840" s="72"/>
      <c r="T1840" s="72"/>
      <c r="U1840" s="72"/>
      <c r="V1840" s="72"/>
    </row>
    <row r="1841" spans="1:22" s="63" customFormat="1" ht="22.5" x14ac:dyDescent="0.25">
      <c r="A1841" s="84">
        <v>11.106999999999999</v>
      </c>
      <c r="B1841" s="81" t="s">
        <v>55</v>
      </c>
      <c r="C1841" s="80">
        <v>16.100000000000001</v>
      </c>
      <c r="D1841" s="131" t="s">
        <v>1627</v>
      </c>
      <c r="E1841" s="83" t="s">
        <v>1628</v>
      </c>
      <c r="F1841" s="81" t="s">
        <v>334</v>
      </c>
      <c r="G1841" s="82">
        <v>560</v>
      </c>
      <c r="H1841" s="85"/>
      <c r="I1841" s="86">
        <v>38290.559999999998</v>
      </c>
      <c r="J1841" s="185">
        <f t="shared" si="181"/>
        <v>77.849999999999994</v>
      </c>
      <c r="K1841" s="189">
        <f t="shared" si="182"/>
        <v>43596</v>
      </c>
      <c r="L1841" s="189"/>
      <c r="M1841" s="138"/>
      <c r="N1841" s="138"/>
      <c r="O1841" s="138"/>
      <c r="S1841" s="72"/>
      <c r="T1841" s="72"/>
      <c r="U1841" s="72"/>
      <c r="V1841" s="72"/>
    </row>
    <row r="1842" spans="1:22" s="63" customFormat="1" ht="22.5" x14ac:dyDescent="0.25">
      <c r="A1842" s="84">
        <v>11.108000000000001</v>
      </c>
      <c r="B1842" s="81" t="s">
        <v>55</v>
      </c>
      <c r="C1842" s="80">
        <v>16.2</v>
      </c>
      <c r="D1842" s="131" t="s">
        <v>1629</v>
      </c>
      <c r="E1842" s="83" t="s">
        <v>1630</v>
      </c>
      <c r="F1842" s="81" t="s">
        <v>687</v>
      </c>
      <c r="G1842" s="87">
        <v>3.65</v>
      </c>
      <c r="H1842" s="85"/>
      <c r="I1842" s="86">
        <v>52491.54</v>
      </c>
      <c r="J1842" s="185">
        <f t="shared" si="181"/>
        <v>16374.48</v>
      </c>
      <c r="K1842" s="189">
        <f t="shared" si="182"/>
        <v>59766.85</v>
      </c>
      <c r="L1842" s="189"/>
      <c r="M1842" s="138"/>
      <c r="N1842" s="138"/>
      <c r="O1842" s="138"/>
      <c r="S1842" s="72"/>
      <c r="T1842" s="72"/>
      <c r="U1842" s="72"/>
      <c r="V1842" s="72"/>
    </row>
    <row r="1843" spans="1:22" s="63" customFormat="1" ht="22.5" x14ac:dyDescent="0.25">
      <c r="A1843" s="84">
        <v>11.109</v>
      </c>
      <c r="B1843" s="81" t="s">
        <v>55</v>
      </c>
      <c r="C1843" s="82">
        <v>17</v>
      </c>
      <c r="D1843" s="131" t="s">
        <v>1631</v>
      </c>
      <c r="E1843" s="83" t="s">
        <v>1632</v>
      </c>
      <c r="F1843" s="81" t="s">
        <v>207</v>
      </c>
      <c r="G1843" s="80">
        <v>5.5</v>
      </c>
      <c r="H1843" s="85"/>
      <c r="I1843" s="86">
        <v>33178.33</v>
      </c>
      <c r="J1843" s="185">
        <f t="shared" si="181"/>
        <v>6868.52</v>
      </c>
      <c r="K1843" s="189">
        <f t="shared" si="182"/>
        <v>37776.86</v>
      </c>
      <c r="L1843" s="189"/>
      <c r="M1843" s="138"/>
      <c r="N1843" s="138"/>
      <c r="O1843" s="138"/>
      <c r="S1843" s="72"/>
      <c r="T1843" s="72"/>
      <c r="U1843" s="72"/>
      <c r="V1843" s="72"/>
    </row>
    <row r="1844" spans="1:22" s="63" customFormat="1" ht="22.5" x14ac:dyDescent="0.25">
      <c r="A1844" s="84">
        <v>11.11</v>
      </c>
      <c r="B1844" s="81" t="s">
        <v>55</v>
      </c>
      <c r="C1844" s="80">
        <v>17.100000000000001</v>
      </c>
      <c r="D1844" s="131" t="s">
        <v>1633</v>
      </c>
      <c r="E1844" s="83" t="s">
        <v>1634</v>
      </c>
      <c r="F1844" s="81" t="s">
        <v>583</v>
      </c>
      <c r="G1844" s="87">
        <v>56.65</v>
      </c>
      <c r="H1844" s="85"/>
      <c r="I1844" s="86">
        <v>23794.400000000001</v>
      </c>
      <c r="J1844" s="185">
        <f t="shared" si="181"/>
        <v>478.24</v>
      </c>
      <c r="K1844" s="189">
        <f t="shared" si="182"/>
        <v>27092.3</v>
      </c>
      <c r="L1844" s="189"/>
      <c r="M1844" s="138"/>
      <c r="N1844" s="138"/>
      <c r="O1844" s="138"/>
      <c r="S1844" s="72"/>
      <c r="T1844" s="72"/>
      <c r="U1844" s="72"/>
      <c r="V1844" s="72"/>
    </row>
    <row r="1845" spans="1:22" s="63" customFormat="1" ht="15" x14ac:dyDescent="0.25">
      <c r="A1845" s="84">
        <v>11.111000000000001</v>
      </c>
      <c r="B1845" s="81" t="s">
        <v>55</v>
      </c>
      <c r="C1845" s="82">
        <v>18</v>
      </c>
      <c r="D1845" s="131" t="s">
        <v>1635</v>
      </c>
      <c r="E1845" s="83" t="s">
        <v>1636</v>
      </c>
      <c r="F1845" s="81" t="s">
        <v>219</v>
      </c>
      <c r="G1845" s="82">
        <v>4</v>
      </c>
      <c r="H1845" s="85"/>
      <c r="I1845" s="86">
        <v>8925.52</v>
      </c>
      <c r="J1845" s="185">
        <f t="shared" si="181"/>
        <v>2540.65</v>
      </c>
      <c r="K1845" s="189">
        <f t="shared" si="182"/>
        <v>10162.6</v>
      </c>
      <c r="L1845" s="189"/>
      <c r="M1845" s="138"/>
      <c r="N1845" s="138"/>
      <c r="O1845" s="138"/>
      <c r="S1845" s="72"/>
      <c r="T1845" s="72"/>
      <c r="U1845" s="72"/>
      <c r="V1845" s="72"/>
    </row>
    <row r="1846" spans="1:22" s="63" customFormat="1" ht="22.5" x14ac:dyDescent="0.25">
      <c r="A1846" s="84">
        <v>11.112</v>
      </c>
      <c r="B1846" s="81" t="s">
        <v>55</v>
      </c>
      <c r="C1846" s="80">
        <v>18.100000000000001</v>
      </c>
      <c r="D1846" s="131" t="s">
        <v>1637</v>
      </c>
      <c r="E1846" s="83" t="s">
        <v>1638</v>
      </c>
      <c r="F1846" s="81" t="s">
        <v>219</v>
      </c>
      <c r="G1846" s="82">
        <v>4</v>
      </c>
      <c r="H1846" s="85"/>
      <c r="I1846" s="86">
        <v>54410.96</v>
      </c>
      <c r="J1846" s="185">
        <f t="shared" si="181"/>
        <v>15488.08</v>
      </c>
      <c r="K1846" s="189">
        <f t="shared" si="182"/>
        <v>61952.32</v>
      </c>
      <c r="L1846" s="189"/>
      <c r="M1846" s="138"/>
      <c r="N1846" s="138"/>
      <c r="O1846" s="138"/>
      <c r="S1846" s="72"/>
      <c r="T1846" s="72"/>
      <c r="U1846" s="72"/>
      <c r="V1846" s="72"/>
    </row>
    <row r="1847" spans="1:22" s="128" customFormat="1" ht="12.75" x14ac:dyDescent="0.25">
      <c r="A1847" s="242"/>
      <c r="B1847" s="125"/>
      <c r="C1847" s="236"/>
      <c r="D1847" s="77"/>
      <c r="E1847" s="126" t="s">
        <v>3319</v>
      </c>
      <c r="F1847" s="125"/>
      <c r="G1847" s="76"/>
      <c r="H1847" s="127"/>
      <c r="I1847" s="78"/>
      <c r="J1847" s="238"/>
      <c r="K1847" s="239"/>
      <c r="L1847" s="239"/>
      <c r="M1847" s="79"/>
      <c r="N1847" s="79"/>
      <c r="O1847" s="79"/>
      <c r="S1847" s="129"/>
      <c r="T1847" s="129"/>
      <c r="U1847" s="129"/>
      <c r="V1847" s="129"/>
    </row>
    <row r="1848" spans="1:22" s="63" customFormat="1" ht="22.5" x14ac:dyDescent="0.25">
      <c r="A1848" s="84">
        <v>11.113</v>
      </c>
      <c r="B1848" s="81" t="s">
        <v>55</v>
      </c>
      <c r="C1848" s="82">
        <v>19</v>
      </c>
      <c r="D1848" s="131" t="s">
        <v>1590</v>
      </c>
      <c r="E1848" s="83" t="s">
        <v>1591</v>
      </c>
      <c r="F1848" s="81" t="s">
        <v>354</v>
      </c>
      <c r="G1848" s="80">
        <v>0.6</v>
      </c>
      <c r="H1848" s="85"/>
      <c r="I1848" s="86">
        <v>56857.88</v>
      </c>
      <c r="J1848" s="185">
        <f t="shared" ref="J1848:J1865" si="183">ROUND($I1848/$G1848*$N$11,2)</f>
        <v>107897.3</v>
      </c>
      <c r="K1848" s="189">
        <f t="shared" ref="K1848:K1865" si="184">ROUND(G1848*J1848,2)</f>
        <v>64738.38</v>
      </c>
      <c r="L1848" s="189"/>
      <c r="M1848" s="138"/>
      <c r="N1848" s="138"/>
      <c r="O1848" s="138"/>
      <c r="S1848" s="72"/>
      <c r="T1848" s="72"/>
      <c r="U1848" s="72"/>
      <c r="V1848" s="72"/>
    </row>
    <row r="1849" spans="1:22" s="63" customFormat="1" ht="15" x14ac:dyDescent="0.25">
      <c r="A1849" s="84">
        <v>11.114000000000001</v>
      </c>
      <c r="B1849" s="81" t="s">
        <v>55</v>
      </c>
      <c r="C1849" s="80">
        <v>19.100000000000001</v>
      </c>
      <c r="D1849" s="131" t="s">
        <v>1639</v>
      </c>
      <c r="E1849" s="83" t="s">
        <v>3726</v>
      </c>
      <c r="F1849" s="81" t="s">
        <v>334</v>
      </c>
      <c r="G1849" s="87">
        <v>60.24</v>
      </c>
      <c r="H1849" s="85"/>
      <c r="I1849" s="86">
        <v>69651.350000000006</v>
      </c>
      <c r="J1849" s="185">
        <f t="shared" si="183"/>
        <v>1316.48</v>
      </c>
      <c r="K1849" s="189">
        <f t="shared" si="184"/>
        <v>79304.759999999995</v>
      </c>
      <c r="L1849" s="189"/>
      <c r="M1849" s="138"/>
      <c r="N1849" s="138"/>
      <c r="O1849" s="138"/>
      <c r="S1849" s="72"/>
      <c r="T1849" s="72"/>
      <c r="U1849" s="72"/>
      <c r="V1849" s="72"/>
    </row>
    <row r="1850" spans="1:22" s="63" customFormat="1" ht="22.5" x14ac:dyDescent="0.25">
      <c r="A1850" s="84">
        <v>11.115</v>
      </c>
      <c r="B1850" s="81" t="s">
        <v>55</v>
      </c>
      <c r="C1850" s="80">
        <v>19.2</v>
      </c>
      <c r="D1850" s="131" t="s">
        <v>1588</v>
      </c>
      <c r="E1850" s="83" t="s">
        <v>1589</v>
      </c>
      <c r="F1850" s="81" t="s">
        <v>566</v>
      </c>
      <c r="G1850" s="80">
        <v>4.5</v>
      </c>
      <c r="H1850" s="85"/>
      <c r="I1850" s="86">
        <v>3694.35</v>
      </c>
      <c r="J1850" s="185">
        <f t="shared" si="183"/>
        <v>934.75</v>
      </c>
      <c r="K1850" s="189">
        <f t="shared" si="184"/>
        <v>4206.38</v>
      </c>
      <c r="L1850" s="189"/>
      <c r="M1850" s="138"/>
      <c r="N1850" s="138"/>
      <c r="O1850" s="138"/>
      <c r="S1850" s="72"/>
      <c r="T1850" s="72"/>
      <c r="U1850" s="72"/>
      <c r="V1850" s="72"/>
    </row>
    <row r="1851" spans="1:22" s="63" customFormat="1" ht="22.5" x14ac:dyDescent="0.25">
      <c r="A1851" s="84">
        <v>11.116</v>
      </c>
      <c r="B1851" s="81" t="s">
        <v>55</v>
      </c>
      <c r="C1851" s="82">
        <v>20</v>
      </c>
      <c r="D1851" s="131" t="s">
        <v>786</v>
      </c>
      <c r="E1851" s="83" t="s">
        <v>787</v>
      </c>
      <c r="F1851" s="81" t="s">
        <v>354</v>
      </c>
      <c r="G1851" s="80">
        <v>0.2</v>
      </c>
      <c r="H1851" s="85"/>
      <c r="I1851" s="86">
        <v>16603.54</v>
      </c>
      <c r="J1851" s="185">
        <f t="shared" si="183"/>
        <v>94523.95</v>
      </c>
      <c r="K1851" s="189">
        <f t="shared" si="184"/>
        <v>18904.79</v>
      </c>
      <c r="L1851" s="189"/>
      <c r="M1851" s="138"/>
      <c r="N1851" s="138"/>
      <c r="O1851" s="138"/>
      <c r="S1851" s="72"/>
      <c r="T1851" s="72"/>
      <c r="U1851" s="72"/>
      <c r="V1851" s="72"/>
    </row>
    <row r="1852" spans="1:22" s="63" customFormat="1" ht="15" x14ac:dyDescent="0.25">
      <c r="A1852" s="84">
        <v>11.117000000000001</v>
      </c>
      <c r="B1852" s="81" t="s">
        <v>55</v>
      </c>
      <c r="C1852" s="80">
        <v>20.100000000000001</v>
      </c>
      <c r="D1852" s="131" t="s">
        <v>1587</v>
      </c>
      <c r="E1852" s="83" t="s">
        <v>3725</v>
      </c>
      <c r="F1852" s="81" t="s">
        <v>334</v>
      </c>
      <c r="G1852" s="87">
        <v>20.14</v>
      </c>
      <c r="H1852" s="85"/>
      <c r="I1852" s="86"/>
      <c r="J1852" s="185">
        <f t="shared" si="183"/>
        <v>0</v>
      </c>
      <c r="K1852" s="189">
        <f t="shared" si="184"/>
        <v>0</v>
      </c>
      <c r="L1852" s="189"/>
      <c r="M1852" s="138"/>
      <c r="N1852" s="138"/>
      <c r="O1852" s="138"/>
      <c r="S1852" s="72"/>
      <c r="T1852" s="72"/>
      <c r="U1852" s="72"/>
      <c r="V1852" s="72"/>
    </row>
    <row r="1853" spans="1:22" s="63" customFormat="1" ht="22.5" x14ac:dyDescent="0.25">
      <c r="A1853" s="84">
        <v>11.118</v>
      </c>
      <c r="B1853" s="81" t="s">
        <v>55</v>
      </c>
      <c r="C1853" s="80">
        <v>20.2</v>
      </c>
      <c r="D1853" s="131" t="s">
        <v>1588</v>
      </c>
      <c r="E1853" s="83" t="s">
        <v>1589</v>
      </c>
      <c r="F1853" s="81" t="s">
        <v>566</v>
      </c>
      <c r="G1853" s="80">
        <v>1.7</v>
      </c>
      <c r="H1853" s="85"/>
      <c r="I1853" s="86">
        <v>1395.67</v>
      </c>
      <c r="J1853" s="185">
        <f t="shared" si="183"/>
        <v>934.77</v>
      </c>
      <c r="K1853" s="189">
        <f t="shared" si="184"/>
        <v>1589.11</v>
      </c>
      <c r="L1853" s="189"/>
      <c r="M1853" s="138"/>
      <c r="N1853" s="138"/>
      <c r="O1853" s="138"/>
      <c r="S1853" s="72"/>
      <c r="T1853" s="72"/>
      <c r="U1853" s="72"/>
      <c r="V1853" s="72"/>
    </row>
    <row r="1854" spans="1:22" s="63" customFormat="1" ht="22.5" x14ac:dyDescent="0.25">
      <c r="A1854" s="84">
        <v>11.119</v>
      </c>
      <c r="B1854" s="81" t="s">
        <v>55</v>
      </c>
      <c r="C1854" s="82">
        <v>21</v>
      </c>
      <c r="D1854" s="131" t="s">
        <v>788</v>
      </c>
      <c r="E1854" s="83" t="s">
        <v>789</v>
      </c>
      <c r="F1854" s="81" t="s">
        <v>354</v>
      </c>
      <c r="G1854" s="80">
        <v>0.2</v>
      </c>
      <c r="H1854" s="85"/>
      <c r="I1854" s="86">
        <v>14838.96</v>
      </c>
      <c r="J1854" s="185">
        <f t="shared" si="183"/>
        <v>84478.2</v>
      </c>
      <c r="K1854" s="189">
        <f t="shared" si="184"/>
        <v>16895.64</v>
      </c>
      <c r="L1854" s="189"/>
      <c r="M1854" s="138"/>
      <c r="N1854" s="138"/>
      <c r="O1854" s="138"/>
      <c r="S1854" s="72"/>
      <c r="T1854" s="72"/>
      <c r="U1854" s="72"/>
      <c r="V1854" s="72"/>
    </row>
    <row r="1855" spans="1:22" s="63" customFormat="1" ht="15" x14ac:dyDescent="0.25">
      <c r="A1855" s="84">
        <v>11.12</v>
      </c>
      <c r="B1855" s="81" t="s">
        <v>55</v>
      </c>
      <c r="C1855" s="80">
        <v>21.1</v>
      </c>
      <c r="D1855" s="131" t="s">
        <v>1584</v>
      </c>
      <c r="E1855" s="83" t="s">
        <v>3724</v>
      </c>
      <c r="F1855" s="81" t="s">
        <v>334</v>
      </c>
      <c r="G1855" s="87">
        <v>20.18</v>
      </c>
      <c r="H1855" s="85"/>
      <c r="I1855" s="86">
        <v>10002.790000000001</v>
      </c>
      <c r="J1855" s="185">
        <f t="shared" si="183"/>
        <v>564.38</v>
      </c>
      <c r="K1855" s="189">
        <f t="shared" si="184"/>
        <v>11389.19</v>
      </c>
      <c r="L1855" s="189"/>
      <c r="M1855" s="138"/>
      <c r="N1855" s="138"/>
      <c r="O1855" s="138"/>
      <c r="S1855" s="72"/>
      <c r="T1855" s="72"/>
      <c r="U1855" s="72"/>
      <c r="V1855" s="72"/>
    </row>
    <row r="1856" spans="1:22" s="63" customFormat="1" ht="22.5" x14ac:dyDescent="0.25">
      <c r="A1856" s="84">
        <v>11.121</v>
      </c>
      <c r="B1856" s="81" t="s">
        <v>55</v>
      </c>
      <c r="C1856" s="80">
        <v>21.2</v>
      </c>
      <c r="D1856" s="131" t="s">
        <v>1585</v>
      </c>
      <c r="E1856" s="83" t="s">
        <v>1586</v>
      </c>
      <c r="F1856" s="81" t="s">
        <v>566</v>
      </c>
      <c r="G1856" s="80">
        <v>1.9</v>
      </c>
      <c r="H1856" s="85"/>
      <c r="I1856" s="86">
        <v>1319.57</v>
      </c>
      <c r="J1856" s="185">
        <f t="shared" si="183"/>
        <v>790.77</v>
      </c>
      <c r="K1856" s="189">
        <f t="shared" si="184"/>
        <v>1502.46</v>
      </c>
      <c r="L1856" s="189"/>
      <c r="M1856" s="138"/>
      <c r="N1856" s="138"/>
      <c r="O1856" s="138"/>
      <c r="S1856" s="72"/>
      <c r="T1856" s="72"/>
      <c r="U1856" s="72"/>
      <c r="V1856" s="72"/>
    </row>
    <row r="1857" spans="1:22" s="63" customFormat="1" ht="22.5" x14ac:dyDescent="0.25">
      <c r="A1857" s="84">
        <v>11.122</v>
      </c>
      <c r="B1857" s="81" t="s">
        <v>55</v>
      </c>
      <c r="C1857" s="80">
        <v>21.3</v>
      </c>
      <c r="D1857" s="131" t="s">
        <v>1585</v>
      </c>
      <c r="E1857" s="83" t="s">
        <v>1586</v>
      </c>
      <c r="F1857" s="81" t="s">
        <v>566</v>
      </c>
      <c r="G1857" s="80">
        <v>1.9</v>
      </c>
      <c r="H1857" s="85"/>
      <c r="I1857" s="86">
        <v>1319.57</v>
      </c>
      <c r="J1857" s="185">
        <f t="shared" si="183"/>
        <v>790.77</v>
      </c>
      <c r="K1857" s="189">
        <f t="shared" si="184"/>
        <v>1502.46</v>
      </c>
      <c r="L1857" s="189"/>
      <c r="M1857" s="138"/>
      <c r="N1857" s="138"/>
      <c r="O1857" s="138"/>
      <c r="S1857" s="72"/>
      <c r="T1857" s="72"/>
      <c r="U1857" s="72"/>
      <c r="V1857" s="72"/>
    </row>
    <row r="1858" spans="1:22" s="63" customFormat="1" ht="22.5" x14ac:dyDescent="0.25">
      <c r="A1858" s="84">
        <v>11.122999999999999</v>
      </c>
      <c r="B1858" s="81" t="s">
        <v>55</v>
      </c>
      <c r="C1858" s="82">
        <v>22</v>
      </c>
      <c r="D1858" s="131" t="s">
        <v>791</v>
      </c>
      <c r="E1858" s="83" t="s">
        <v>792</v>
      </c>
      <c r="F1858" s="81" t="s">
        <v>354</v>
      </c>
      <c r="G1858" s="87">
        <v>0.44</v>
      </c>
      <c r="H1858" s="85"/>
      <c r="I1858" s="86">
        <v>37439.43</v>
      </c>
      <c r="J1858" s="185">
        <f t="shared" si="183"/>
        <v>96883.03</v>
      </c>
      <c r="K1858" s="189">
        <f t="shared" si="184"/>
        <v>42628.53</v>
      </c>
      <c r="L1858" s="189"/>
      <c r="M1858" s="138"/>
      <c r="N1858" s="138"/>
      <c r="O1858" s="138"/>
      <c r="S1858" s="72"/>
      <c r="T1858" s="72"/>
      <c r="U1858" s="72"/>
      <c r="V1858" s="72"/>
    </row>
    <row r="1859" spans="1:22" s="63" customFormat="1" ht="15" x14ac:dyDescent="0.25">
      <c r="A1859" s="84">
        <v>11.124000000000001</v>
      </c>
      <c r="B1859" s="81" t="s">
        <v>55</v>
      </c>
      <c r="C1859" s="80">
        <v>22.1</v>
      </c>
      <c r="D1859" s="131" t="s">
        <v>1581</v>
      </c>
      <c r="E1859" s="83" t="s">
        <v>3723</v>
      </c>
      <c r="F1859" s="81" t="s">
        <v>334</v>
      </c>
      <c r="G1859" s="84">
        <v>44.527999999999999</v>
      </c>
      <c r="H1859" s="85"/>
      <c r="I1859" s="86">
        <v>16766.68</v>
      </c>
      <c r="J1859" s="185">
        <f t="shared" si="183"/>
        <v>428.73</v>
      </c>
      <c r="K1859" s="189">
        <f t="shared" si="184"/>
        <v>19090.490000000002</v>
      </c>
      <c r="L1859" s="189"/>
      <c r="M1859" s="138"/>
      <c r="N1859" s="138"/>
      <c r="O1859" s="138"/>
      <c r="S1859" s="72"/>
      <c r="T1859" s="72"/>
      <c r="U1859" s="72"/>
      <c r="V1859" s="72"/>
    </row>
    <row r="1860" spans="1:22" s="63" customFormat="1" ht="22.5" x14ac:dyDescent="0.25">
      <c r="A1860" s="84">
        <v>11.125</v>
      </c>
      <c r="B1860" s="81" t="s">
        <v>55</v>
      </c>
      <c r="C1860" s="80">
        <v>22.2</v>
      </c>
      <c r="D1860" s="131" t="s">
        <v>1582</v>
      </c>
      <c r="E1860" s="83" t="s">
        <v>1583</v>
      </c>
      <c r="F1860" s="81" t="s">
        <v>566</v>
      </c>
      <c r="G1860" s="80">
        <v>4.4000000000000004</v>
      </c>
      <c r="H1860" s="85"/>
      <c r="I1860" s="86">
        <v>2038.4</v>
      </c>
      <c r="J1860" s="185">
        <f t="shared" si="183"/>
        <v>527.48</v>
      </c>
      <c r="K1860" s="189">
        <f t="shared" si="184"/>
        <v>2320.91</v>
      </c>
      <c r="L1860" s="189"/>
      <c r="M1860" s="138"/>
      <c r="N1860" s="138"/>
      <c r="O1860" s="138"/>
      <c r="S1860" s="72"/>
      <c r="T1860" s="72"/>
      <c r="U1860" s="72"/>
      <c r="V1860" s="72"/>
    </row>
    <row r="1861" spans="1:22" s="63" customFormat="1" ht="22.5" x14ac:dyDescent="0.25">
      <c r="A1861" s="84">
        <v>11.125999999999999</v>
      </c>
      <c r="B1861" s="81" t="s">
        <v>55</v>
      </c>
      <c r="C1861" s="82">
        <v>23</v>
      </c>
      <c r="D1861" s="131" t="s">
        <v>770</v>
      </c>
      <c r="E1861" s="83" t="s">
        <v>771</v>
      </c>
      <c r="F1861" s="81" t="s">
        <v>772</v>
      </c>
      <c r="G1861" s="80">
        <v>15.8</v>
      </c>
      <c r="H1861" s="85"/>
      <c r="I1861" s="86">
        <v>74128.86</v>
      </c>
      <c r="J1861" s="185">
        <f t="shared" si="183"/>
        <v>5341.97</v>
      </c>
      <c r="K1861" s="189">
        <f t="shared" si="184"/>
        <v>84403.13</v>
      </c>
      <c r="L1861" s="189"/>
      <c r="M1861" s="138"/>
      <c r="N1861" s="138"/>
      <c r="O1861" s="138"/>
      <c r="S1861" s="72"/>
      <c r="T1861" s="72"/>
      <c r="U1861" s="72"/>
      <c r="V1861" s="72"/>
    </row>
    <row r="1862" spans="1:22" s="63" customFormat="1" ht="22.5" x14ac:dyDescent="0.25">
      <c r="A1862" s="84">
        <v>11.127000000000001</v>
      </c>
      <c r="B1862" s="81" t="s">
        <v>55</v>
      </c>
      <c r="C1862" s="80">
        <v>23.1</v>
      </c>
      <c r="D1862" s="131" t="s">
        <v>1593</v>
      </c>
      <c r="E1862" s="83" t="s">
        <v>1594</v>
      </c>
      <c r="F1862" s="81" t="s">
        <v>334</v>
      </c>
      <c r="G1862" s="80">
        <v>72.599999999999994</v>
      </c>
      <c r="H1862" s="85"/>
      <c r="I1862" s="86">
        <v>72811.03</v>
      </c>
      <c r="J1862" s="185">
        <f t="shared" si="183"/>
        <v>1141.9100000000001</v>
      </c>
      <c r="K1862" s="189">
        <f t="shared" si="184"/>
        <v>82902.67</v>
      </c>
      <c r="L1862" s="189"/>
      <c r="M1862" s="138"/>
      <c r="N1862" s="138"/>
      <c r="O1862" s="138"/>
      <c r="S1862" s="72"/>
      <c r="T1862" s="72"/>
      <c r="U1862" s="72"/>
      <c r="V1862" s="72"/>
    </row>
    <row r="1863" spans="1:22" s="63" customFormat="1" ht="22.5" x14ac:dyDescent="0.25">
      <c r="A1863" s="84">
        <v>11.128</v>
      </c>
      <c r="B1863" s="81" t="s">
        <v>55</v>
      </c>
      <c r="C1863" s="80">
        <v>23.2</v>
      </c>
      <c r="D1863" s="131" t="s">
        <v>1595</v>
      </c>
      <c r="E1863" s="83" t="s">
        <v>1596</v>
      </c>
      <c r="F1863" s="81" t="s">
        <v>334</v>
      </c>
      <c r="G1863" s="80">
        <v>24.2</v>
      </c>
      <c r="H1863" s="85"/>
      <c r="I1863" s="86">
        <v>21059.81</v>
      </c>
      <c r="J1863" s="185">
        <f t="shared" si="183"/>
        <v>990.86</v>
      </c>
      <c r="K1863" s="189">
        <f t="shared" si="184"/>
        <v>23978.81</v>
      </c>
      <c r="L1863" s="189"/>
      <c r="M1863" s="138"/>
      <c r="N1863" s="138"/>
      <c r="O1863" s="138"/>
      <c r="S1863" s="72"/>
      <c r="T1863" s="72"/>
      <c r="U1863" s="72"/>
      <c r="V1863" s="72"/>
    </row>
    <row r="1864" spans="1:22" s="63" customFormat="1" ht="22.5" x14ac:dyDescent="0.25">
      <c r="A1864" s="84">
        <v>11.129</v>
      </c>
      <c r="B1864" s="81" t="s">
        <v>55</v>
      </c>
      <c r="C1864" s="80">
        <v>23.3</v>
      </c>
      <c r="D1864" s="131" t="s">
        <v>1597</v>
      </c>
      <c r="E1864" s="83" t="s">
        <v>1598</v>
      </c>
      <c r="F1864" s="81" t="s">
        <v>334</v>
      </c>
      <c r="G1864" s="80">
        <v>24.2</v>
      </c>
      <c r="H1864" s="85"/>
      <c r="I1864" s="86">
        <v>19925.12</v>
      </c>
      <c r="J1864" s="185">
        <f t="shared" si="183"/>
        <v>937.47</v>
      </c>
      <c r="K1864" s="189">
        <f t="shared" si="184"/>
        <v>22686.77</v>
      </c>
      <c r="L1864" s="189"/>
      <c r="M1864" s="138"/>
      <c r="N1864" s="138"/>
      <c r="O1864" s="138"/>
      <c r="S1864" s="72"/>
      <c r="T1864" s="72"/>
      <c r="U1864" s="72"/>
      <c r="V1864" s="72"/>
    </row>
    <row r="1865" spans="1:22" s="63" customFormat="1" ht="22.5" x14ac:dyDescent="0.25">
      <c r="A1865" s="84">
        <v>11.13</v>
      </c>
      <c r="B1865" s="81" t="s">
        <v>55</v>
      </c>
      <c r="C1865" s="80">
        <v>23.4</v>
      </c>
      <c r="D1865" s="131" t="s">
        <v>1640</v>
      </c>
      <c r="E1865" s="83" t="s">
        <v>1641</v>
      </c>
      <c r="F1865" s="81" t="s">
        <v>334</v>
      </c>
      <c r="G1865" s="80">
        <v>52.8</v>
      </c>
      <c r="H1865" s="85"/>
      <c r="I1865" s="86">
        <v>38948.57</v>
      </c>
      <c r="J1865" s="185">
        <f t="shared" si="183"/>
        <v>839.9</v>
      </c>
      <c r="K1865" s="189">
        <f t="shared" si="184"/>
        <v>44346.720000000001</v>
      </c>
      <c r="L1865" s="189"/>
      <c r="M1865" s="138"/>
      <c r="N1865" s="138"/>
      <c r="O1865" s="138"/>
      <c r="S1865" s="72"/>
      <c r="T1865" s="72"/>
      <c r="U1865" s="72"/>
      <c r="V1865" s="72"/>
    </row>
    <row r="1866" spans="1:22" s="63" customFormat="1" ht="15" x14ac:dyDescent="0.25">
      <c r="A1866" s="194">
        <v>12</v>
      </c>
      <c r="B1866" s="418" t="s">
        <v>1642</v>
      </c>
      <c r="C1866" s="418"/>
      <c r="D1866" s="418"/>
      <c r="E1866" s="195" t="s">
        <v>57</v>
      </c>
      <c r="F1866" s="196"/>
      <c r="G1866" s="194">
        <v>1</v>
      </c>
      <c r="H1866" s="197">
        <v>13558283.75</v>
      </c>
      <c r="I1866" s="355">
        <f>SUM(I1869:I2115)</f>
        <v>13558283.76</v>
      </c>
      <c r="J1866" s="200"/>
      <c r="K1866" s="198">
        <f>SUM(K1869:K2115)</f>
        <v>15176130.819999989</v>
      </c>
      <c r="L1866" s="198"/>
      <c r="M1866" s="207"/>
      <c r="N1866" s="209"/>
      <c r="O1866" s="138"/>
      <c r="S1866" s="72"/>
      <c r="T1866" s="72"/>
      <c r="U1866" s="72"/>
      <c r="V1866" s="72"/>
    </row>
    <row r="1867" spans="1:22" s="63" customFormat="1" ht="15" x14ac:dyDescent="0.25">
      <c r="A1867" s="91"/>
      <c r="B1867" s="92"/>
      <c r="C1867" s="92"/>
      <c r="D1867" s="166"/>
      <c r="E1867" s="93" t="s">
        <v>651</v>
      </c>
      <c r="F1867" s="94"/>
      <c r="G1867" s="91"/>
      <c r="H1867" s="95"/>
      <c r="I1867" s="96">
        <f>SUM(I1869:I2115)-I1885-I1890-I1895-I1897-I1925-I1933-I1943-I1949-I1961-I1963-I1969-I1972-I1974-I1976-I1981-I1983-I1985-I1989-I1991-I1993-I1996-I2001-I2003-I2027-I2032-I2036-I2038-I2040-I2053-I2073-I2075-I2077-I2083-I2095</f>
        <v>13001494.809999997</v>
      </c>
      <c r="J1867" s="191"/>
      <c r="K1867" s="96">
        <f>SUM(K1869:K2115)-K1885-K1890-K1895-K1897-K1925-K1933-K1943-K1949-K1961-K1963-K1969-K1972-K1974-K1976-K1981-K1983-K1985-K1989-K1991-K1993-K1996-K2001-K2003-K2027-K2032-K2036-K2038-K2040-K2053-K2073-K2075-K2077-K2083-K2095</f>
        <v>14542170.87999999</v>
      </c>
      <c r="L1867" s="96"/>
      <c r="M1867" s="207"/>
      <c r="N1867" s="209"/>
      <c r="O1867" s="138"/>
      <c r="S1867" s="72"/>
      <c r="T1867" s="72"/>
      <c r="U1867" s="72"/>
      <c r="V1867" s="72"/>
    </row>
    <row r="1868" spans="1:22" s="63" customFormat="1" ht="15" x14ac:dyDescent="0.25">
      <c r="A1868" s="216"/>
      <c r="B1868" s="217"/>
      <c r="C1868" s="217"/>
      <c r="D1868" s="248"/>
      <c r="E1868" s="218" t="s">
        <v>3320</v>
      </c>
      <c r="F1868" s="219"/>
      <c r="G1868" s="216"/>
      <c r="H1868" s="220"/>
      <c r="I1868" s="221"/>
      <c r="J1868" s="244"/>
      <c r="K1868" s="221"/>
      <c r="L1868" s="221"/>
      <c r="M1868" s="207"/>
      <c r="N1868" s="209"/>
      <c r="O1868" s="138"/>
      <c r="S1868" s="72"/>
      <c r="T1868" s="72"/>
      <c r="U1868" s="72"/>
      <c r="V1868" s="72"/>
    </row>
    <row r="1869" spans="1:22" s="63" customFormat="1" ht="45" x14ac:dyDescent="0.25">
      <c r="A1869" s="103">
        <v>12.1</v>
      </c>
      <c r="B1869" s="102" t="s">
        <v>56</v>
      </c>
      <c r="C1869" s="105">
        <v>1</v>
      </c>
      <c r="D1869" s="167" t="s">
        <v>1643</v>
      </c>
      <c r="E1869" s="104" t="s">
        <v>3729</v>
      </c>
      <c r="F1869" s="102" t="s">
        <v>219</v>
      </c>
      <c r="G1869" s="105">
        <v>4</v>
      </c>
      <c r="H1869" s="106"/>
      <c r="I1869" s="107">
        <v>47306.57</v>
      </c>
      <c r="J1869" s="192">
        <f>ROUND($I1869/$G1869*$N$12,2)</f>
        <v>13228.1</v>
      </c>
      <c r="K1869" s="193">
        <f>ROUND(G1869*J1869,2)</f>
        <v>52912.4</v>
      </c>
      <c r="L1869" s="193"/>
      <c r="M1869" s="138"/>
      <c r="N1869" s="138"/>
      <c r="O1869" s="138"/>
      <c r="S1869" s="72"/>
      <c r="T1869" s="72"/>
      <c r="U1869" s="72"/>
      <c r="V1869" s="72"/>
    </row>
    <row r="1870" spans="1:22" s="128" customFormat="1" ht="12.75" x14ac:dyDescent="0.25">
      <c r="A1870" s="262"/>
      <c r="B1870" s="263"/>
      <c r="C1870" s="216"/>
      <c r="D1870" s="219"/>
      <c r="E1870" s="248" t="s">
        <v>3321</v>
      </c>
      <c r="F1870" s="263"/>
      <c r="G1870" s="216"/>
      <c r="H1870" s="264"/>
      <c r="I1870" s="221"/>
      <c r="J1870" s="265"/>
      <c r="K1870" s="266"/>
      <c r="L1870" s="266"/>
      <c r="M1870" s="79"/>
      <c r="N1870" s="79"/>
      <c r="O1870" s="79"/>
      <c r="S1870" s="129"/>
      <c r="T1870" s="129"/>
      <c r="U1870" s="129"/>
      <c r="V1870" s="129"/>
    </row>
    <row r="1871" spans="1:22" s="128" customFormat="1" ht="12.75" x14ac:dyDescent="0.25">
      <c r="A1871" s="262"/>
      <c r="B1871" s="263"/>
      <c r="C1871" s="216"/>
      <c r="D1871" s="219"/>
      <c r="E1871" s="248" t="s">
        <v>3322</v>
      </c>
      <c r="F1871" s="263"/>
      <c r="G1871" s="216"/>
      <c r="H1871" s="264"/>
      <c r="I1871" s="221"/>
      <c r="J1871" s="265"/>
      <c r="K1871" s="266"/>
      <c r="L1871" s="266"/>
      <c r="M1871" s="79"/>
      <c r="N1871" s="79"/>
      <c r="O1871" s="79"/>
      <c r="S1871" s="129"/>
      <c r="T1871" s="129"/>
      <c r="U1871" s="129"/>
      <c r="V1871" s="129"/>
    </row>
    <row r="1872" spans="1:22" s="63" customFormat="1" ht="45" x14ac:dyDescent="0.25">
      <c r="A1872" s="103">
        <v>12.2</v>
      </c>
      <c r="B1872" s="102" t="s">
        <v>56</v>
      </c>
      <c r="C1872" s="105">
        <v>2</v>
      </c>
      <c r="D1872" s="167" t="s">
        <v>1644</v>
      </c>
      <c r="E1872" s="104" t="s">
        <v>3730</v>
      </c>
      <c r="F1872" s="102" t="s">
        <v>219</v>
      </c>
      <c r="G1872" s="105">
        <v>40</v>
      </c>
      <c r="H1872" s="106"/>
      <c r="I1872" s="107">
        <v>153007.18</v>
      </c>
      <c r="J1872" s="192">
        <f t="shared" ref="J1872:J1884" si="185">ROUND($I1872/$G1872*$N$12,2)</f>
        <v>4278.46</v>
      </c>
      <c r="K1872" s="193">
        <f t="shared" ref="K1872:K1903" si="186">ROUND(G1872*J1872,2)</f>
        <v>171138.4</v>
      </c>
      <c r="L1872" s="193"/>
      <c r="M1872" s="138"/>
      <c r="N1872" s="138"/>
      <c r="O1872" s="138"/>
      <c r="S1872" s="72"/>
      <c r="T1872" s="72"/>
      <c r="U1872" s="72"/>
      <c r="V1872" s="72"/>
    </row>
    <row r="1873" spans="1:22" s="63" customFormat="1" ht="45" x14ac:dyDescent="0.25">
      <c r="A1873" s="103">
        <v>12.3</v>
      </c>
      <c r="B1873" s="102" t="s">
        <v>56</v>
      </c>
      <c r="C1873" s="105">
        <v>3</v>
      </c>
      <c r="D1873" s="167" t="s">
        <v>1645</v>
      </c>
      <c r="E1873" s="104" t="s">
        <v>3731</v>
      </c>
      <c r="F1873" s="102" t="s">
        <v>219</v>
      </c>
      <c r="G1873" s="105">
        <v>4</v>
      </c>
      <c r="H1873" s="106"/>
      <c r="I1873" s="107">
        <v>22906.720000000001</v>
      </c>
      <c r="J1873" s="192">
        <f t="shared" si="185"/>
        <v>6405.29</v>
      </c>
      <c r="K1873" s="193">
        <f t="shared" si="186"/>
        <v>25621.16</v>
      </c>
      <c r="L1873" s="193"/>
      <c r="M1873" s="138"/>
      <c r="N1873" s="138"/>
      <c r="O1873" s="138"/>
      <c r="S1873" s="72"/>
      <c r="T1873" s="72"/>
      <c r="U1873" s="72"/>
      <c r="V1873" s="72"/>
    </row>
    <row r="1874" spans="1:22" s="63" customFormat="1" ht="45" x14ac:dyDescent="0.25">
      <c r="A1874" s="103">
        <v>12.4</v>
      </c>
      <c r="B1874" s="102" t="s">
        <v>56</v>
      </c>
      <c r="C1874" s="105">
        <v>4</v>
      </c>
      <c r="D1874" s="167" t="s">
        <v>1646</v>
      </c>
      <c r="E1874" s="104" t="s">
        <v>3732</v>
      </c>
      <c r="F1874" s="102" t="s">
        <v>219</v>
      </c>
      <c r="G1874" s="105">
        <v>4</v>
      </c>
      <c r="H1874" s="106"/>
      <c r="I1874" s="107">
        <v>48836.65</v>
      </c>
      <c r="J1874" s="192">
        <f t="shared" si="185"/>
        <v>13655.95</v>
      </c>
      <c r="K1874" s="193">
        <f t="shared" si="186"/>
        <v>54623.8</v>
      </c>
      <c r="L1874" s="193"/>
      <c r="M1874" s="138"/>
      <c r="N1874" s="138"/>
      <c r="O1874" s="138"/>
      <c r="S1874" s="72"/>
      <c r="T1874" s="72"/>
      <c r="U1874" s="72"/>
      <c r="V1874" s="72"/>
    </row>
    <row r="1875" spans="1:22" s="63" customFormat="1" ht="45" x14ac:dyDescent="0.25">
      <c r="A1875" s="103">
        <v>12.5</v>
      </c>
      <c r="B1875" s="102" t="s">
        <v>56</v>
      </c>
      <c r="C1875" s="105">
        <v>5</v>
      </c>
      <c r="D1875" s="167" t="s">
        <v>1647</v>
      </c>
      <c r="E1875" s="104" t="s">
        <v>3733</v>
      </c>
      <c r="F1875" s="102" t="s">
        <v>219</v>
      </c>
      <c r="G1875" s="105">
        <v>8</v>
      </c>
      <c r="H1875" s="106"/>
      <c r="I1875" s="107">
        <v>20356.63</v>
      </c>
      <c r="J1875" s="192">
        <f t="shared" si="185"/>
        <v>2846.11</v>
      </c>
      <c r="K1875" s="193">
        <f t="shared" si="186"/>
        <v>22768.880000000001</v>
      </c>
      <c r="L1875" s="193"/>
      <c r="M1875" s="138"/>
      <c r="N1875" s="138"/>
      <c r="O1875" s="138"/>
      <c r="S1875" s="72"/>
      <c r="T1875" s="72"/>
      <c r="U1875" s="72"/>
      <c r="V1875" s="72"/>
    </row>
    <row r="1876" spans="1:22" s="63" customFormat="1" ht="45" x14ac:dyDescent="0.25">
      <c r="A1876" s="103">
        <v>12.6</v>
      </c>
      <c r="B1876" s="102" t="s">
        <v>56</v>
      </c>
      <c r="C1876" s="105">
        <v>6</v>
      </c>
      <c r="D1876" s="167" t="s">
        <v>1648</v>
      </c>
      <c r="E1876" s="104" t="s">
        <v>3734</v>
      </c>
      <c r="F1876" s="102" t="s">
        <v>219</v>
      </c>
      <c r="G1876" s="105">
        <v>20</v>
      </c>
      <c r="H1876" s="106"/>
      <c r="I1876" s="107">
        <v>55806.9</v>
      </c>
      <c r="J1876" s="192">
        <f t="shared" si="185"/>
        <v>3121</v>
      </c>
      <c r="K1876" s="193">
        <f t="shared" si="186"/>
        <v>62420</v>
      </c>
      <c r="L1876" s="193"/>
      <c r="M1876" s="138"/>
      <c r="N1876" s="138"/>
      <c r="O1876" s="138"/>
      <c r="S1876" s="72"/>
      <c r="T1876" s="72"/>
      <c r="U1876" s="72"/>
      <c r="V1876" s="72"/>
    </row>
    <row r="1877" spans="1:22" s="63" customFormat="1" ht="45" x14ac:dyDescent="0.25">
      <c r="A1877" s="103">
        <v>12.7</v>
      </c>
      <c r="B1877" s="102" t="s">
        <v>56</v>
      </c>
      <c r="C1877" s="105">
        <v>7</v>
      </c>
      <c r="D1877" s="167" t="s">
        <v>1649</v>
      </c>
      <c r="E1877" s="104" t="s">
        <v>3735</v>
      </c>
      <c r="F1877" s="102" t="s">
        <v>219</v>
      </c>
      <c r="G1877" s="105">
        <v>8</v>
      </c>
      <c r="H1877" s="106"/>
      <c r="I1877" s="107">
        <v>10170.94</v>
      </c>
      <c r="J1877" s="192">
        <f t="shared" si="185"/>
        <v>1422.02</v>
      </c>
      <c r="K1877" s="193">
        <f t="shared" si="186"/>
        <v>11376.16</v>
      </c>
      <c r="L1877" s="193"/>
      <c r="M1877" s="138"/>
      <c r="N1877" s="138"/>
      <c r="O1877" s="138"/>
      <c r="S1877" s="72"/>
      <c r="T1877" s="72"/>
      <c r="U1877" s="72"/>
      <c r="V1877" s="72"/>
    </row>
    <row r="1878" spans="1:22" s="63" customFormat="1" ht="45" x14ac:dyDescent="0.25">
      <c r="A1878" s="103">
        <v>12.8</v>
      </c>
      <c r="B1878" s="102" t="s">
        <v>56</v>
      </c>
      <c r="C1878" s="105">
        <v>8</v>
      </c>
      <c r="D1878" s="167" t="s">
        <v>1650</v>
      </c>
      <c r="E1878" s="104" t="s">
        <v>3736</v>
      </c>
      <c r="F1878" s="102" t="s">
        <v>219</v>
      </c>
      <c r="G1878" s="105">
        <v>40</v>
      </c>
      <c r="H1878" s="106"/>
      <c r="I1878" s="107">
        <v>53959.23</v>
      </c>
      <c r="J1878" s="192">
        <f t="shared" si="185"/>
        <v>1508.83</v>
      </c>
      <c r="K1878" s="193">
        <f t="shared" si="186"/>
        <v>60353.2</v>
      </c>
      <c r="L1878" s="193"/>
      <c r="M1878" s="138"/>
      <c r="N1878" s="138"/>
      <c r="O1878" s="138"/>
      <c r="S1878" s="72"/>
      <c r="T1878" s="72"/>
      <c r="U1878" s="72"/>
      <c r="V1878" s="72"/>
    </row>
    <row r="1879" spans="1:22" s="63" customFormat="1" ht="45" x14ac:dyDescent="0.25">
      <c r="A1879" s="103">
        <v>12.9</v>
      </c>
      <c r="B1879" s="102" t="s">
        <v>56</v>
      </c>
      <c r="C1879" s="105">
        <v>9</v>
      </c>
      <c r="D1879" s="167" t="s">
        <v>1651</v>
      </c>
      <c r="E1879" s="104" t="s">
        <v>3737</v>
      </c>
      <c r="F1879" s="102" t="s">
        <v>219</v>
      </c>
      <c r="G1879" s="105">
        <v>35</v>
      </c>
      <c r="H1879" s="106"/>
      <c r="I1879" s="107">
        <v>47214.34</v>
      </c>
      <c r="J1879" s="192">
        <f t="shared" si="185"/>
        <v>1508.84</v>
      </c>
      <c r="K1879" s="193">
        <f t="shared" si="186"/>
        <v>52809.4</v>
      </c>
      <c r="L1879" s="193"/>
      <c r="M1879" s="138"/>
      <c r="N1879" s="138"/>
      <c r="O1879" s="138"/>
      <c r="S1879" s="72"/>
      <c r="T1879" s="72"/>
      <c r="U1879" s="72"/>
      <c r="V1879" s="72"/>
    </row>
    <row r="1880" spans="1:22" s="63" customFormat="1" ht="45" x14ac:dyDescent="0.25">
      <c r="A1880" s="101">
        <v>12.1</v>
      </c>
      <c r="B1880" s="102" t="s">
        <v>56</v>
      </c>
      <c r="C1880" s="105">
        <v>10</v>
      </c>
      <c r="D1880" s="167" t="s">
        <v>1652</v>
      </c>
      <c r="E1880" s="104" t="s">
        <v>3738</v>
      </c>
      <c r="F1880" s="102" t="s">
        <v>219</v>
      </c>
      <c r="G1880" s="105">
        <v>4</v>
      </c>
      <c r="H1880" s="106"/>
      <c r="I1880" s="107">
        <v>33779.85</v>
      </c>
      <c r="J1880" s="192">
        <f t="shared" si="185"/>
        <v>9445.69</v>
      </c>
      <c r="K1880" s="193">
        <f t="shared" si="186"/>
        <v>37782.76</v>
      </c>
      <c r="L1880" s="193"/>
      <c r="M1880" s="138"/>
      <c r="N1880" s="138"/>
      <c r="O1880" s="138"/>
      <c r="S1880" s="72"/>
      <c r="T1880" s="72"/>
      <c r="U1880" s="72"/>
      <c r="V1880" s="72"/>
    </row>
    <row r="1881" spans="1:22" s="63" customFormat="1" ht="45" x14ac:dyDescent="0.25">
      <c r="A1881" s="101">
        <v>12.11</v>
      </c>
      <c r="B1881" s="102" t="s">
        <v>56</v>
      </c>
      <c r="C1881" s="105">
        <v>11</v>
      </c>
      <c r="D1881" s="167" t="s">
        <v>1653</v>
      </c>
      <c r="E1881" s="104" t="s">
        <v>3739</v>
      </c>
      <c r="F1881" s="102" t="s">
        <v>219</v>
      </c>
      <c r="G1881" s="105">
        <v>2</v>
      </c>
      <c r="H1881" s="106"/>
      <c r="I1881" s="107">
        <v>16187.74</v>
      </c>
      <c r="J1881" s="192">
        <f t="shared" si="185"/>
        <v>9052.99</v>
      </c>
      <c r="K1881" s="193">
        <f t="shared" si="186"/>
        <v>18105.98</v>
      </c>
      <c r="L1881" s="193"/>
      <c r="M1881" s="138"/>
      <c r="N1881" s="138"/>
      <c r="O1881" s="138"/>
      <c r="S1881" s="72"/>
      <c r="T1881" s="72"/>
      <c r="U1881" s="72"/>
      <c r="V1881" s="72"/>
    </row>
    <row r="1882" spans="1:22" s="63" customFormat="1" ht="45" x14ac:dyDescent="0.25">
      <c r="A1882" s="101">
        <v>12.12</v>
      </c>
      <c r="B1882" s="102" t="s">
        <v>56</v>
      </c>
      <c r="C1882" s="105">
        <v>12</v>
      </c>
      <c r="D1882" s="167" t="s">
        <v>1654</v>
      </c>
      <c r="E1882" s="104" t="s">
        <v>3740</v>
      </c>
      <c r="F1882" s="102" t="s">
        <v>219</v>
      </c>
      <c r="G1882" s="105">
        <v>14</v>
      </c>
      <c r="H1882" s="106"/>
      <c r="I1882" s="107">
        <v>36477.760000000002</v>
      </c>
      <c r="J1882" s="192">
        <f t="shared" si="185"/>
        <v>2914.31</v>
      </c>
      <c r="K1882" s="193">
        <f t="shared" si="186"/>
        <v>40800.339999999997</v>
      </c>
      <c r="L1882" s="193"/>
      <c r="M1882" s="138"/>
      <c r="N1882" s="138"/>
      <c r="O1882" s="138"/>
      <c r="S1882" s="72"/>
      <c r="T1882" s="72"/>
      <c r="U1882" s="72"/>
      <c r="V1882" s="72"/>
    </row>
    <row r="1883" spans="1:22" s="63" customFormat="1" ht="45" x14ac:dyDescent="0.25">
      <c r="A1883" s="101">
        <v>12.13</v>
      </c>
      <c r="B1883" s="102" t="s">
        <v>56</v>
      </c>
      <c r="C1883" s="105">
        <v>13</v>
      </c>
      <c r="D1883" s="167" t="s">
        <v>1655</v>
      </c>
      <c r="E1883" s="104" t="s">
        <v>3741</v>
      </c>
      <c r="F1883" s="102" t="s">
        <v>219</v>
      </c>
      <c r="G1883" s="105">
        <v>4</v>
      </c>
      <c r="H1883" s="106"/>
      <c r="I1883" s="107">
        <v>23431.56</v>
      </c>
      <c r="J1883" s="192">
        <f t="shared" si="185"/>
        <v>6552.05</v>
      </c>
      <c r="K1883" s="193">
        <f t="shared" si="186"/>
        <v>26208.2</v>
      </c>
      <c r="L1883" s="193"/>
      <c r="M1883" s="138"/>
      <c r="N1883" s="138"/>
      <c r="O1883" s="138"/>
      <c r="S1883" s="72"/>
      <c r="T1883" s="72"/>
      <c r="U1883" s="72"/>
      <c r="V1883" s="72"/>
    </row>
    <row r="1884" spans="1:22" s="63" customFormat="1" ht="45" x14ac:dyDescent="0.25">
      <c r="A1884" s="101">
        <v>12.14</v>
      </c>
      <c r="B1884" s="102" t="s">
        <v>56</v>
      </c>
      <c r="C1884" s="105">
        <v>14</v>
      </c>
      <c r="D1884" s="167" t="s">
        <v>1656</v>
      </c>
      <c r="E1884" s="104" t="s">
        <v>3742</v>
      </c>
      <c r="F1884" s="102" t="s">
        <v>219</v>
      </c>
      <c r="G1884" s="105">
        <v>8</v>
      </c>
      <c r="H1884" s="106"/>
      <c r="I1884" s="107">
        <v>58541.85</v>
      </c>
      <c r="J1884" s="192">
        <f t="shared" si="185"/>
        <v>8184.88</v>
      </c>
      <c r="K1884" s="193">
        <f t="shared" si="186"/>
        <v>65479.040000000001</v>
      </c>
      <c r="L1884" s="193"/>
      <c r="M1884" s="138"/>
      <c r="N1884" s="138"/>
      <c r="O1884" s="138"/>
      <c r="S1884" s="72"/>
      <c r="T1884" s="72"/>
      <c r="U1884" s="72"/>
      <c r="V1884" s="72"/>
    </row>
    <row r="1885" spans="1:22" s="63" customFormat="1" ht="15" x14ac:dyDescent="0.25">
      <c r="A1885" s="87">
        <v>12.15</v>
      </c>
      <c r="B1885" s="81" t="s">
        <v>56</v>
      </c>
      <c r="C1885" s="82">
        <v>15</v>
      </c>
      <c r="D1885" s="131" t="s">
        <v>919</v>
      </c>
      <c r="E1885" s="83" t="s">
        <v>920</v>
      </c>
      <c r="F1885" s="81" t="s">
        <v>687</v>
      </c>
      <c r="G1885" s="80">
        <v>0.4</v>
      </c>
      <c r="H1885" s="85"/>
      <c r="I1885" s="86">
        <f>12861.36+0.01</f>
        <v>12861.37</v>
      </c>
      <c r="J1885" s="185">
        <f>ROUND($I1885/$G1885*$N$11,2)</f>
        <v>36609.89</v>
      </c>
      <c r="K1885" s="189">
        <f t="shared" si="186"/>
        <v>14643.96</v>
      </c>
      <c r="L1885" s="189"/>
      <c r="M1885" s="138"/>
      <c r="N1885" s="138"/>
      <c r="O1885" s="138"/>
      <c r="S1885" s="72"/>
      <c r="T1885" s="72"/>
      <c r="U1885" s="72"/>
      <c r="V1885" s="72"/>
    </row>
    <row r="1886" spans="1:22" s="63" customFormat="1" ht="45" x14ac:dyDescent="0.25">
      <c r="A1886" s="101">
        <v>12.16</v>
      </c>
      <c r="B1886" s="102" t="s">
        <v>56</v>
      </c>
      <c r="C1886" s="103">
        <v>15.1</v>
      </c>
      <c r="D1886" s="167" t="s">
        <v>1657</v>
      </c>
      <c r="E1886" s="104" t="s">
        <v>3743</v>
      </c>
      <c r="F1886" s="102" t="s">
        <v>219</v>
      </c>
      <c r="G1886" s="105">
        <v>4</v>
      </c>
      <c r="H1886" s="106"/>
      <c r="I1886" s="107">
        <v>40580.18</v>
      </c>
      <c r="J1886" s="192">
        <f>ROUND($I1886/$G1886*$N$12,2)</f>
        <v>11347.23</v>
      </c>
      <c r="K1886" s="193">
        <f t="shared" si="186"/>
        <v>45388.92</v>
      </c>
      <c r="L1886" s="193"/>
      <c r="M1886" s="138"/>
      <c r="N1886" s="138"/>
      <c r="O1886" s="138"/>
      <c r="S1886" s="72"/>
      <c r="T1886" s="72"/>
      <c r="U1886" s="72"/>
      <c r="V1886" s="72"/>
    </row>
    <row r="1887" spans="1:22" s="63" customFormat="1" ht="45" x14ac:dyDescent="0.25">
      <c r="A1887" s="101">
        <v>12.17</v>
      </c>
      <c r="B1887" s="102" t="s">
        <v>56</v>
      </c>
      <c r="C1887" s="105">
        <v>16</v>
      </c>
      <c r="D1887" s="167" t="s">
        <v>1658</v>
      </c>
      <c r="E1887" s="104" t="s">
        <v>3744</v>
      </c>
      <c r="F1887" s="102" t="s">
        <v>219</v>
      </c>
      <c r="G1887" s="105">
        <v>8</v>
      </c>
      <c r="H1887" s="106"/>
      <c r="I1887" s="107">
        <v>35627.760000000002</v>
      </c>
      <c r="J1887" s="192">
        <f>ROUND($I1887/$G1887*$N$12,2)</f>
        <v>4981.21</v>
      </c>
      <c r="K1887" s="193">
        <f t="shared" si="186"/>
        <v>39849.68</v>
      </c>
      <c r="L1887" s="193"/>
      <c r="M1887" s="138"/>
      <c r="N1887" s="138"/>
      <c r="O1887" s="138"/>
      <c r="S1887" s="72"/>
      <c r="T1887" s="72"/>
      <c r="U1887" s="72"/>
      <c r="V1887" s="72"/>
    </row>
    <row r="1888" spans="1:22" s="63" customFormat="1" ht="45" x14ac:dyDescent="0.25">
      <c r="A1888" s="101">
        <v>12.18</v>
      </c>
      <c r="B1888" s="102" t="s">
        <v>56</v>
      </c>
      <c r="C1888" s="105">
        <v>17</v>
      </c>
      <c r="D1888" s="167" t="s">
        <v>1659</v>
      </c>
      <c r="E1888" s="104" t="s">
        <v>3745</v>
      </c>
      <c r="F1888" s="102" t="s">
        <v>219</v>
      </c>
      <c r="G1888" s="105">
        <v>16</v>
      </c>
      <c r="H1888" s="106"/>
      <c r="I1888" s="107">
        <v>171781.95</v>
      </c>
      <c r="J1888" s="192">
        <f>ROUND($I1888/$G1888*$N$12,2)</f>
        <v>12008.63</v>
      </c>
      <c r="K1888" s="193">
        <f t="shared" si="186"/>
        <v>192138.08</v>
      </c>
      <c r="L1888" s="193"/>
      <c r="M1888" s="138"/>
      <c r="N1888" s="138"/>
      <c r="O1888" s="138"/>
      <c r="S1888" s="72"/>
      <c r="T1888" s="72"/>
      <c r="U1888" s="72"/>
      <c r="V1888" s="72"/>
    </row>
    <row r="1889" spans="1:22" s="63" customFormat="1" ht="45" x14ac:dyDescent="0.25">
      <c r="A1889" s="101">
        <v>12.19</v>
      </c>
      <c r="B1889" s="102" t="s">
        <v>56</v>
      </c>
      <c r="C1889" s="105">
        <v>18</v>
      </c>
      <c r="D1889" s="167" t="s">
        <v>1660</v>
      </c>
      <c r="E1889" s="104" t="s">
        <v>3746</v>
      </c>
      <c r="F1889" s="102" t="s">
        <v>219</v>
      </c>
      <c r="G1889" s="105">
        <v>4</v>
      </c>
      <c r="H1889" s="106"/>
      <c r="I1889" s="107">
        <v>30157.91</v>
      </c>
      <c r="J1889" s="192">
        <f>ROUND($I1889/$G1889*$N$12,2)</f>
        <v>8432.91</v>
      </c>
      <c r="K1889" s="193">
        <f t="shared" si="186"/>
        <v>33731.64</v>
      </c>
      <c r="L1889" s="193"/>
      <c r="M1889" s="138"/>
      <c r="N1889" s="138"/>
      <c r="O1889" s="138"/>
      <c r="S1889" s="72"/>
      <c r="T1889" s="72"/>
      <c r="U1889" s="72"/>
      <c r="V1889" s="72"/>
    </row>
    <row r="1890" spans="1:22" s="63" customFormat="1" ht="22.5" x14ac:dyDescent="0.25">
      <c r="A1890" s="87">
        <v>12.2</v>
      </c>
      <c r="B1890" s="81" t="s">
        <v>56</v>
      </c>
      <c r="C1890" s="82">
        <v>19</v>
      </c>
      <c r="D1890" s="131" t="s">
        <v>1034</v>
      </c>
      <c r="E1890" s="83" t="s">
        <v>1661</v>
      </c>
      <c r="F1890" s="81" t="s">
        <v>219</v>
      </c>
      <c r="G1890" s="82">
        <v>6</v>
      </c>
      <c r="H1890" s="85"/>
      <c r="I1890" s="86">
        <v>7301.39</v>
      </c>
      <c r="J1890" s="185">
        <f>ROUND($I1890/$G1890*$N$11,2)</f>
        <v>1385.56</v>
      </c>
      <c r="K1890" s="189">
        <f t="shared" si="186"/>
        <v>8313.36</v>
      </c>
      <c r="L1890" s="189"/>
      <c r="M1890" s="138"/>
      <c r="N1890" s="138"/>
      <c r="O1890" s="138"/>
      <c r="S1890" s="72"/>
      <c r="T1890" s="72"/>
      <c r="U1890" s="72"/>
      <c r="V1890" s="72"/>
    </row>
    <row r="1891" spans="1:22" s="63" customFormat="1" ht="45" x14ac:dyDescent="0.25">
      <c r="A1891" s="101">
        <v>12.21</v>
      </c>
      <c r="B1891" s="102" t="s">
        <v>56</v>
      </c>
      <c r="C1891" s="103">
        <v>19.100000000000001</v>
      </c>
      <c r="D1891" s="167" t="s">
        <v>1662</v>
      </c>
      <c r="E1891" s="104" t="s">
        <v>3747</v>
      </c>
      <c r="F1891" s="102" t="s">
        <v>219</v>
      </c>
      <c r="G1891" s="105">
        <v>6</v>
      </c>
      <c r="H1891" s="106"/>
      <c r="I1891" s="107">
        <v>293818.21000000002</v>
      </c>
      <c r="J1891" s="192">
        <f>ROUND($I1891/$G1891*$N$12,2)</f>
        <v>54772.61</v>
      </c>
      <c r="K1891" s="193">
        <f t="shared" si="186"/>
        <v>328635.65999999997</v>
      </c>
      <c r="L1891" s="193"/>
      <c r="M1891" s="138"/>
      <c r="N1891" s="138"/>
      <c r="O1891" s="138"/>
      <c r="S1891" s="72"/>
      <c r="T1891" s="72"/>
      <c r="U1891" s="72"/>
      <c r="V1891" s="72"/>
    </row>
    <row r="1892" spans="1:22" s="63" customFormat="1" ht="45" x14ac:dyDescent="0.25">
      <c r="A1892" s="101">
        <v>12.22</v>
      </c>
      <c r="B1892" s="102" t="s">
        <v>56</v>
      </c>
      <c r="C1892" s="105">
        <v>20</v>
      </c>
      <c r="D1892" s="167" t="s">
        <v>1663</v>
      </c>
      <c r="E1892" s="104" t="s">
        <v>3748</v>
      </c>
      <c r="F1892" s="102" t="s">
        <v>219</v>
      </c>
      <c r="G1892" s="105">
        <v>16</v>
      </c>
      <c r="H1892" s="106"/>
      <c r="I1892" s="107">
        <v>28975.29</v>
      </c>
      <c r="J1892" s="192">
        <f>ROUND($I1892/$G1892*$N$12,2)</f>
        <v>2025.55</v>
      </c>
      <c r="K1892" s="193">
        <f t="shared" si="186"/>
        <v>32408.799999999999</v>
      </c>
      <c r="L1892" s="193"/>
      <c r="M1892" s="138"/>
      <c r="N1892" s="138"/>
      <c r="O1892" s="138"/>
      <c r="S1892" s="72"/>
      <c r="T1892" s="72"/>
      <c r="U1892" s="72"/>
      <c r="V1892" s="72"/>
    </row>
    <row r="1893" spans="1:22" s="63" customFormat="1" ht="45" x14ac:dyDescent="0.25">
      <c r="A1893" s="101">
        <v>12.23</v>
      </c>
      <c r="B1893" s="102" t="s">
        <v>56</v>
      </c>
      <c r="C1893" s="105">
        <v>21</v>
      </c>
      <c r="D1893" s="167" t="s">
        <v>1664</v>
      </c>
      <c r="E1893" s="104" t="s">
        <v>3749</v>
      </c>
      <c r="F1893" s="102" t="s">
        <v>219</v>
      </c>
      <c r="G1893" s="105">
        <v>1</v>
      </c>
      <c r="H1893" s="106"/>
      <c r="I1893" s="107">
        <v>7890.57</v>
      </c>
      <c r="J1893" s="192">
        <f>ROUND($I1893/$G1893*$N$12,2)</f>
        <v>8825.6</v>
      </c>
      <c r="K1893" s="193">
        <f t="shared" si="186"/>
        <v>8825.6</v>
      </c>
      <c r="L1893" s="193"/>
      <c r="M1893" s="138"/>
      <c r="N1893" s="138"/>
      <c r="O1893" s="138"/>
      <c r="S1893" s="72"/>
      <c r="T1893" s="72"/>
      <c r="U1893" s="72"/>
      <c r="V1893" s="72"/>
    </row>
    <row r="1894" spans="1:22" s="63" customFormat="1" ht="45" x14ac:dyDescent="0.25">
      <c r="A1894" s="101">
        <v>12.24</v>
      </c>
      <c r="B1894" s="102" t="s">
        <v>56</v>
      </c>
      <c r="C1894" s="105">
        <v>22</v>
      </c>
      <c r="D1894" s="167" t="s">
        <v>1665</v>
      </c>
      <c r="E1894" s="104" t="s">
        <v>3750</v>
      </c>
      <c r="F1894" s="102" t="s">
        <v>219</v>
      </c>
      <c r="G1894" s="105">
        <v>5</v>
      </c>
      <c r="H1894" s="106"/>
      <c r="I1894" s="107">
        <v>7391.64</v>
      </c>
      <c r="J1894" s="192">
        <f>ROUND($I1894/$G1894*$N$12,2)</f>
        <v>1653.51</v>
      </c>
      <c r="K1894" s="193">
        <f t="shared" si="186"/>
        <v>8267.5499999999993</v>
      </c>
      <c r="L1894" s="193"/>
      <c r="M1894" s="138"/>
      <c r="N1894" s="138"/>
      <c r="O1894" s="138"/>
      <c r="S1894" s="72"/>
      <c r="T1894" s="72"/>
      <c r="U1894" s="72"/>
      <c r="V1894" s="72"/>
    </row>
    <row r="1895" spans="1:22" s="63" customFormat="1" ht="15" x14ac:dyDescent="0.25">
      <c r="A1895" s="87">
        <v>12.25</v>
      </c>
      <c r="B1895" s="81" t="s">
        <v>56</v>
      </c>
      <c r="C1895" s="82">
        <v>23</v>
      </c>
      <c r="D1895" s="131" t="s">
        <v>1034</v>
      </c>
      <c r="E1895" s="83" t="s">
        <v>1666</v>
      </c>
      <c r="F1895" s="81" t="s">
        <v>219</v>
      </c>
      <c r="G1895" s="82">
        <v>4</v>
      </c>
      <c r="H1895" s="85"/>
      <c r="I1895" s="86">
        <v>4867.6000000000004</v>
      </c>
      <c r="J1895" s="185">
        <f>ROUND($I1895/$G1895*$N$11,2)</f>
        <v>1385.56</v>
      </c>
      <c r="K1895" s="189">
        <f t="shared" si="186"/>
        <v>5542.24</v>
      </c>
      <c r="L1895" s="189"/>
      <c r="M1895" s="138"/>
      <c r="N1895" s="138"/>
      <c r="O1895" s="138"/>
      <c r="S1895" s="72"/>
      <c r="T1895" s="72"/>
      <c r="U1895" s="72"/>
      <c r="V1895" s="72"/>
    </row>
    <row r="1896" spans="1:22" s="63" customFormat="1" ht="45" x14ac:dyDescent="0.25">
      <c r="A1896" s="101">
        <v>12.26</v>
      </c>
      <c r="B1896" s="102" t="s">
        <v>56</v>
      </c>
      <c r="C1896" s="103">
        <v>23.1</v>
      </c>
      <c r="D1896" s="167" t="s">
        <v>1667</v>
      </c>
      <c r="E1896" s="104" t="s">
        <v>3751</v>
      </c>
      <c r="F1896" s="102" t="s">
        <v>219</v>
      </c>
      <c r="G1896" s="105">
        <v>4</v>
      </c>
      <c r="H1896" s="106"/>
      <c r="I1896" s="107">
        <v>150043.16</v>
      </c>
      <c r="J1896" s="192">
        <f>ROUND($I1896/$G1896*$N$12,2)</f>
        <v>41955.82</v>
      </c>
      <c r="K1896" s="193">
        <f t="shared" si="186"/>
        <v>167823.28</v>
      </c>
      <c r="L1896" s="193"/>
      <c r="M1896" s="138"/>
      <c r="N1896" s="138"/>
      <c r="O1896" s="138"/>
      <c r="S1896" s="72"/>
      <c r="T1896" s="72"/>
      <c r="U1896" s="72"/>
      <c r="V1896" s="72"/>
    </row>
    <row r="1897" spans="1:22" s="63" customFormat="1" ht="22.5" x14ac:dyDescent="0.25">
      <c r="A1897" s="87">
        <v>12.27</v>
      </c>
      <c r="B1897" s="81" t="s">
        <v>56</v>
      </c>
      <c r="C1897" s="82">
        <v>24</v>
      </c>
      <c r="D1897" s="131" t="s">
        <v>946</v>
      </c>
      <c r="E1897" s="83" t="s">
        <v>947</v>
      </c>
      <c r="F1897" s="81" t="s">
        <v>566</v>
      </c>
      <c r="G1897" s="80">
        <v>1.5</v>
      </c>
      <c r="H1897" s="85"/>
      <c r="I1897" s="86">
        <v>4939.4799999999996</v>
      </c>
      <c r="J1897" s="185">
        <f>ROUND($I1897/$G1897*$N$11,2)</f>
        <v>3749.39</v>
      </c>
      <c r="K1897" s="189">
        <f t="shared" si="186"/>
        <v>5624.09</v>
      </c>
      <c r="L1897" s="189"/>
      <c r="M1897" s="138"/>
      <c r="N1897" s="138"/>
      <c r="O1897" s="138"/>
      <c r="S1897" s="72"/>
      <c r="T1897" s="72"/>
      <c r="U1897" s="72"/>
      <c r="V1897" s="72"/>
    </row>
    <row r="1898" spans="1:22" s="63" customFormat="1" ht="45" x14ac:dyDescent="0.25">
      <c r="A1898" s="101">
        <v>12.28</v>
      </c>
      <c r="B1898" s="102" t="s">
        <v>56</v>
      </c>
      <c r="C1898" s="103">
        <v>24.1</v>
      </c>
      <c r="D1898" s="167" t="s">
        <v>1668</v>
      </c>
      <c r="E1898" s="104" t="s">
        <v>3752</v>
      </c>
      <c r="F1898" s="102" t="s">
        <v>219</v>
      </c>
      <c r="G1898" s="105">
        <v>15</v>
      </c>
      <c r="H1898" s="106"/>
      <c r="I1898" s="107">
        <v>37974.65</v>
      </c>
      <c r="J1898" s="192">
        <f t="shared" ref="J1898:J1924" si="187">ROUND($I1898/$G1898*$N$12,2)</f>
        <v>2831.64</v>
      </c>
      <c r="K1898" s="193">
        <f t="shared" si="186"/>
        <v>42474.6</v>
      </c>
      <c r="L1898" s="193"/>
      <c r="M1898" s="138"/>
      <c r="N1898" s="138"/>
      <c r="O1898" s="138"/>
      <c r="S1898" s="72"/>
      <c r="T1898" s="72"/>
      <c r="U1898" s="72"/>
      <c r="V1898" s="72"/>
    </row>
    <row r="1899" spans="1:22" s="63" customFormat="1" ht="45" x14ac:dyDescent="0.25">
      <c r="A1899" s="101">
        <v>12.29</v>
      </c>
      <c r="B1899" s="102" t="s">
        <v>56</v>
      </c>
      <c r="C1899" s="105">
        <v>25</v>
      </c>
      <c r="D1899" s="167" t="s">
        <v>1669</v>
      </c>
      <c r="E1899" s="104" t="s">
        <v>3753</v>
      </c>
      <c r="F1899" s="102" t="s">
        <v>219</v>
      </c>
      <c r="G1899" s="105">
        <v>4</v>
      </c>
      <c r="H1899" s="106"/>
      <c r="I1899" s="107">
        <v>86474.92</v>
      </c>
      <c r="J1899" s="192">
        <f t="shared" si="187"/>
        <v>24180.55</v>
      </c>
      <c r="K1899" s="193">
        <f t="shared" si="186"/>
        <v>96722.2</v>
      </c>
      <c r="L1899" s="193"/>
      <c r="M1899" s="138"/>
      <c r="N1899" s="138"/>
      <c r="O1899" s="138"/>
      <c r="S1899" s="72"/>
      <c r="T1899" s="72"/>
      <c r="U1899" s="72"/>
      <c r="V1899" s="72"/>
    </row>
    <row r="1900" spans="1:22" s="63" customFormat="1" ht="45" x14ac:dyDescent="0.25">
      <c r="A1900" s="101">
        <v>12.3</v>
      </c>
      <c r="B1900" s="102" t="s">
        <v>56</v>
      </c>
      <c r="C1900" s="105">
        <v>26</v>
      </c>
      <c r="D1900" s="167" t="s">
        <v>1670</v>
      </c>
      <c r="E1900" s="104" t="s">
        <v>3754</v>
      </c>
      <c r="F1900" s="102" t="s">
        <v>219</v>
      </c>
      <c r="G1900" s="105">
        <v>4</v>
      </c>
      <c r="H1900" s="106"/>
      <c r="I1900" s="107">
        <v>36950.870000000003</v>
      </c>
      <c r="J1900" s="192">
        <f t="shared" si="187"/>
        <v>10332.39</v>
      </c>
      <c r="K1900" s="193">
        <f t="shared" si="186"/>
        <v>41329.56</v>
      </c>
      <c r="L1900" s="193"/>
      <c r="M1900" s="138"/>
      <c r="N1900" s="138"/>
      <c r="O1900" s="138"/>
      <c r="S1900" s="72"/>
      <c r="T1900" s="72"/>
      <c r="U1900" s="72"/>
      <c r="V1900" s="72"/>
    </row>
    <row r="1901" spans="1:22" s="63" customFormat="1" ht="45" x14ac:dyDescent="0.25">
      <c r="A1901" s="101">
        <v>12.31</v>
      </c>
      <c r="B1901" s="102" t="s">
        <v>56</v>
      </c>
      <c r="C1901" s="105">
        <v>27</v>
      </c>
      <c r="D1901" s="167" t="s">
        <v>1671</v>
      </c>
      <c r="E1901" s="104" t="s">
        <v>3755</v>
      </c>
      <c r="F1901" s="102" t="s">
        <v>219</v>
      </c>
      <c r="G1901" s="105">
        <v>4</v>
      </c>
      <c r="H1901" s="106"/>
      <c r="I1901" s="107">
        <v>27275.200000000001</v>
      </c>
      <c r="J1901" s="192">
        <f t="shared" si="187"/>
        <v>7626.83</v>
      </c>
      <c r="K1901" s="193">
        <f t="shared" si="186"/>
        <v>30507.32</v>
      </c>
      <c r="L1901" s="193"/>
      <c r="M1901" s="138"/>
      <c r="N1901" s="138"/>
      <c r="O1901" s="138"/>
      <c r="S1901" s="72"/>
      <c r="T1901" s="72"/>
      <c r="U1901" s="72"/>
      <c r="V1901" s="72"/>
    </row>
    <row r="1902" spans="1:22" s="63" customFormat="1" ht="45" x14ac:dyDescent="0.25">
      <c r="A1902" s="101">
        <v>12.32</v>
      </c>
      <c r="B1902" s="102" t="s">
        <v>56</v>
      </c>
      <c r="C1902" s="105">
        <v>28</v>
      </c>
      <c r="D1902" s="167" t="s">
        <v>1672</v>
      </c>
      <c r="E1902" s="104" t="s">
        <v>3756</v>
      </c>
      <c r="F1902" s="102" t="s">
        <v>219</v>
      </c>
      <c r="G1902" s="105">
        <v>4</v>
      </c>
      <c r="H1902" s="106"/>
      <c r="I1902" s="107">
        <v>48784.92</v>
      </c>
      <c r="J1902" s="192">
        <f t="shared" si="187"/>
        <v>13641.48</v>
      </c>
      <c r="K1902" s="193">
        <f t="shared" si="186"/>
        <v>54565.919999999998</v>
      </c>
      <c r="L1902" s="193"/>
      <c r="M1902" s="138"/>
      <c r="N1902" s="138"/>
      <c r="O1902" s="138"/>
      <c r="S1902" s="72"/>
      <c r="T1902" s="72"/>
      <c r="U1902" s="72"/>
      <c r="V1902" s="72"/>
    </row>
    <row r="1903" spans="1:22" s="63" customFormat="1" ht="45" x14ac:dyDescent="0.25">
      <c r="A1903" s="101">
        <v>12.33</v>
      </c>
      <c r="B1903" s="102" t="s">
        <v>56</v>
      </c>
      <c r="C1903" s="105">
        <v>29</v>
      </c>
      <c r="D1903" s="167" t="s">
        <v>1673</v>
      </c>
      <c r="E1903" s="104" t="s">
        <v>3757</v>
      </c>
      <c r="F1903" s="102" t="s">
        <v>219</v>
      </c>
      <c r="G1903" s="105">
        <v>4</v>
      </c>
      <c r="H1903" s="106"/>
      <c r="I1903" s="107">
        <v>48784.92</v>
      </c>
      <c r="J1903" s="192">
        <f t="shared" si="187"/>
        <v>13641.48</v>
      </c>
      <c r="K1903" s="193">
        <f t="shared" si="186"/>
        <v>54565.919999999998</v>
      </c>
      <c r="L1903" s="193"/>
      <c r="M1903" s="138"/>
      <c r="N1903" s="138"/>
      <c r="O1903" s="138"/>
      <c r="S1903" s="72"/>
      <c r="T1903" s="72"/>
      <c r="U1903" s="72"/>
      <c r="V1903" s="72"/>
    </row>
    <row r="1904" spans="1:22" s="63" customFormat="1" ht="45" x14ac:dyDescent="0.25">
      <c r="A1904" s="101">
        <v>12.34</v>
      </c>
      <c r="B1904" s="102" t="s">
        <v>56</v>
      </c>
      <c r="C1904" s="105">
        <v>30</v>
      </c>
      <c r="D1904" s="167" t="s">
        <v>1674</v>
      </c>
      <c r="E1904" s="104" t="s">
        <v>3758</v>
      </c>
      <c r="F1904" s="102" t="s">
        <v>219</v>
      </c>
      <c r="G1904" s="105">
        <v>4</v>
      </c>
      <c r="H1904" s="106"/>
      <c r="I1904" s="107">
        <v>79319.86</v>
      </c>
      <c r="J1904" s="192">
        <f t="shared" si="187"/>
        <v>22179.82</v>
      </c>
      <c r="K1904" s="193">
        <f t="shared" ref="K1904:K1927" si="188">ROUND(G1904*J1904,2)</f>
        <v>88719.28</v>
      </c>
      <c r="L1904" s="193"/>
      <c r="M1904" s="138"/>
      <c r="N1904" s="138"/>
      <c r="O1904" s="138"/>
      <c r="S1904" s="72"/>
      <c r="T1904" s="72"/>
      <c r="U1904" s="72"/>
      <c r="V1904" s="72"/>
    </row>
    <row r="1905" spans="1:22" s="63" customFormat="1" ht="45" x14ac:dyDescent="0.25">
      <c r="A1905" s="101">
        <v>12.35</v>
      </c>
      <c r="B1905" s="102" t="s">
        <v>56</v>
      </c>
      <c r="C1905" s="105">
        <v>31</v>
      </c>
      <c r="D1905" s="167" t="s">
        <v>1675</v>
      </c>
      <c r="E1905" s="104" t="s">
        <v>3759</v>
      </c>
      <c r="F1905" s="102" t="s">
        <v>219</v>
      </c>
      <c r="G1905" s="105">
        <v>2</v>
      </c>
      <c r="H1905" s="106"/>
      <c r="I1905" s="107">
        <v>28494.81</v>
      </c>
      <c r="J1905" s="192">
        <f t="shared" si="187"/>
        <v>15935.72</v>
      </c>
      <c r="K1905" s="193">
        <f t="shared" si="188"/>
        <v>31871.439999999999</v>
      </c>
      <c r="L1905" s="193"/>
      <c r="M1905" s="138"/>
      <c r="N1905" s="138"/>
      <c r="O1905" s="138"/>
      <c r="S1905" s="72"/>
      <c r="T1905" s="72"/>
      <c r="U1905" s="72"/>
      <c r="V1905" s="72"/>
    </row>
    <row r="1906" spans="1:22" s="63" customFormat="1" ht="45" x14ac:dyDescent="0.25">
      <c r="A1906" s="101">
        <v>12.36</v>
      </c>
      <c r="B1906" s="102" t="s">
        <v>56</v>
      </c>
      <c r="C1906" s="105">
        <v>32</v>
      </c>
      <c r="D1906" s="167" t="s">
        <v>1676</v>
      </c>
      <c r="E1906" s="104" t="s">
        <v>3760</v>
      </c>
      <c r="F1906" s="102" t="s">
        <v>219</v>
      </c>
      <c r="G1906" s="105">
        <v>2</v>
      </c>
      <c r="H1906" s="106"/>
      <c r="I1906" s="107">
        <v>29612.82</v>
      </c>
      <c r="J1906" s="192">
        <f t="shared" si="187"/>
        <v>16560.97</v>
      </c>
      <c r="K1906" s="193">
        <f t="shared" si="188"/>
        <v>33121.94</v>
      </c>
      <c r="L1906" s="193"/>
      <c r="M1906" s="138"/>
      <c r="N1906" s="138"/>
      <c r="O1906" s="138"/>
      <c r="S1906" s="72"/>
      <c r="T1906" s="72"/>
      <c r="U1906" s="72"/>
      <c r="V1906" s="72"/>
    </row>
    <row r="1907" spans="1:22" s="63" customFormat="1" ht="45" x14ac:dyDescent="0.25">
      <c r="A1907" s="101">
        <v>12.37</v>
      </c>
      <c r="B1907" s="102" t="s">
        <v>56</v>
      </c>
      <c r="C1907" s="105">
        <v>33</v>
      </c>
      <c r="D1907" s="167" t="s">
        <v>1677</v>
      </c>
      <c r="E1907" s="104" t="s">
        <v>3761</v>
      </c>
      <c r="F1907" s="102" t="s">
        <v>219</v>
      </c>
      <c r="G1907" s="105">
        <v>4</v>
      </c>
      <c r="H1907" s="106"/>
      <c r="I1907" s="107">
        <v>47661.35</v>
      </c>
      <c r="J1907" s="192">
        <f t="shared" si="187"/>
        <v>13327.3</v>
      </c>
      <c r="K1907" s="193">
        <f t="shared" si="188"/>
        <v>53309.2</v>
      </c>
      <c r="L1907" s="193"/>
      <c r="M1907" s="138"/>
      <c r="N1907" s="138"/>
      <c r="O1907" s="138"/>
      <c r="S1907" s="72"/>
      <c r="T1907" s="72"/>
      <c r="U1907" s="72"/>
      <c r="V1907" s="72"/>
    </row>
    <row r="1908" spans="1:22" s="63" customFormat="1" ht="45" x14ac:dyDescent="0.25">
      <c r="A1908" s="101">
        <v>12.38</v>
      </c>
      <c r="B1908" s="102" t="s">
        <v>56</v>
      </c>
      <c r="C1908" s="105">
        <v>34</v>
      </c>
      <c r="D1908" s="167" t="s">
        <v>1678</v>
      </c>
      <c r="E1908" s="104" t="s">
        <v>3762</v>
      </c>
      <c r="F1908" s="102" t="s">
        <v>219</v>
      </c>
      <c r="G1908" s="105">
        <v>4</v>
      </c>
      <c r="H1908" s="106"/>
      <c r="I1908" s="107">
        <v>31340.58</v>
      </c>
      <c r="J1908" s="192">
        <f t="shared" si="187"/>
        <v>8763.61</v>
      </c>
      <c r="K1908" s="193">
        <f t="shared" si="188"/>
        <v>35054.44</v>
      </c>
      <c r="L1908" s="193"/>
      <c r="M1908" s="138"/>
      <c r="N1908" s="138"/>
      <c r="O1908" s="138"/>
      <c r="S1908" s="72"/>
      <c r="T1908" s="72"/>
      <c r="U1908" s="72"/>
      <c r="V1908" s="72"/>
    </row>
    <row r="1909" spans="1:22" s="63" customFormat="1" ht="45" x14ac:dyDescent="0.25">
      <c r="A1909" s="101">
        <v>12.39</v>
      </c>
      <c r="B1909" s="102" t="s">
        <v>56</v>
      </c>
      <c r="C1909" s="105">
        <v>35</v>
      </c>
      <c r="D1909" s="167" t="s">
        <v>1679</v>
      </c>
      <c r="E1909" s="104" t="s">
        <v>3763</v>
      </c>
      <c r="F1909" s="102" t="s">
        <v>219</v>
      </c>
      <c r="G1909" s="105">
        <v>4</v>
      </c>
      <c r="H1909" s="106"/>
      <c r="I1909" s="107">
        <v>37475.67</v>
      </c>
      <c r="J1909" s="192">
        <f t="shared" si="187"/>
        <v>10479.129999999999</v>
      </c>
      <c r="K1909" s="193">
        <f t="shared" si="188"/>
        <v>41916.519999999997</v>
      </c>
      <c r="L1909" s="193"/>
      <c r="M1909" s="138"/>
      <c r="N1909" s="138"/>
      <c r="O1909" s="138"/>
      <c r="S1909" s="72"/>
      <c r="T1909" s="72"/>
      <c r="U1909" s="72"/>
      <c r="V1909" s="72"/>
    </row>
    <row r="1910" spans="1:22" s="63" customFormat="1" ht="45" x14ac:dyDescent="0.25">
      <c r="A1910" s="101">
        <v>12.4</v>
      </c>
      <c r="B1910" s="102" t="s">
        <v>56</v>
      </c>
      <c r="C1910" s="105">
        <v>36</v>
      </c>
      <c r="D1910" s="167" t="s">
        <v>1680</v>
      </c>
      <c r="E1910" s="104" t="s">
        <v>3764</v>
      </c>
      <c r="F1910" s="102" t="s">
        <v>219</v>
      </c>
      <c r="G1910" s="105">
        <v>4</v>
      </c>
      <c r="H1910" s="106"/>
      <c r="I1910" s="107">
        <v>46826.09</v>
      </c>
      <c r="J1910" s="192">
        <f t="shared" si="187"/>
        <v>13093.75</v>
      </c>
      <c r="K1910" s="193">
        <f t="shared" si="188"/>
        <v>52375</v>
      </c>
      <c r="L1910" s="193"/>
      <c r="M1910" s="138"/>
      <c r="N1910" s="138"/>
      <c r="O1910" s="138"/>
      <c r="S1910" s="72"/>
      <c r="T1910" s="72"/>
      <c r="U1910" s="72"/>
      <c r="V1910" s="72"/>
    </row>
    <row r="1911" spans="1:22" s="63" customFormat="1" ht="45" x14ac:dyDescent="0.25">
      <c r="A1911" s="101">
        <v>12.41</v>
      </c>
      <c r="B1911" s="102" t="s">
        <v>56</v>
      </c>
      <c r="C1911" s="105">
        <v>37</v>
      </c>
      <c r="D1911" s="167" t="s">
        <v>1681</v>
      </c>
      <c r="E1911" s="104" t="s">
        <v>3746</v>
      </c>
      <c r="F1911" s="102" t="s">
        <v>219</v>
      </c>
      <c r="G1911" s="105">
        <v>1</v>
      </c>
      <c r="H1911" s="106"/>
      <c r="I1911" s="107">
        <v>7539.5</v>
      </c>
      <c r="J1911" s="192">
        <f t="shared" si="187"/>
        <v>8432.93</v>
      </c>
      <c r="K1911" s="193">
        <f t="shared" si="188"/>
        <v>8432.93</v>
      </c>
      <c r="L1911" s="193"/>
      <c r="M1911" s="138"/>
      <c r="N1911" s="138"/>
      <c r="O1911" s="138"/>
      <c r="S1911" s="72"/>
      <c r="T1911" s="72"/>
      <c r="U1911" s="72"/>
      <c r="V1911" s="72"/>
    </row>
    <row r="1912" spans="1:22" s="63" customFormat="1" ht="45" x14ac:dyDescent="0.25">
      <c r="A1912" s="101">
        <v>12.42</v>
      </c>
      <c r="B1912" s="102" t="s">
        <v>56</v>
      </c>
      <c r="C1912" s="105">
        <v>38</v>
      </c>
      <c r="D1912" s="167" t="s">
        <v>1682</v>
      </c>
      <c r="E1912" s="104" t="s">
        <v>3765</v>
      </c>
      <c r="F1912" s="102" t="s">
        <v>219</v>
      </c>
      <c r="G1912" s="105">
        <v>4</v>
      </c>
      <c r="H1912" s="106"/>
      <c r="I1912" s="107">
        <v>25752.49</v>
      </c>
      <c r="J1912" s="192">
        <f t="shared" si="187"/>
        <v>7201.04</v>
      </c>
      <c r="K1912" s="193">
        <f t="shared" si="188"/>
        <v>28804.16</v>
      </c>
      <c r="L1912" s="193"/>
      <c r="M1912" s="138"/>
      <c r="N1912" s="138"/>
      <c r="O1912" s="138"/>
      <c r="S1912" s="72"/>
      <c r="T1912" s="72"/>
      <c r="U1912" s="72"/>
      <c r="V1912" s="72"/>
    </row>
    <row r="1913" spans="1:22" s="63" customFormat="1" ht="45" x14ac:dyDescent="0.25">
      <c r="A1913" s="101">
        <v>12.43</v>
      </c>
      <c r="B1913" s="102" t="s">
        <v>56</v>
      </c>
      <c r="C1913" s="105">
        <v>39</v>
      </c>
      <c r="D1913" s="167" t="s">
        <v>1683</v>
      </c>
      <c r="E1913" s="104" t="s">
        <v>3766</v>
      </c>
      <c r="F1913" s="102" t="s">
        <v>219</v>
      </c>
      <c r="G1913" s="105">
        <v>8</v>
      </c>
      <c r="H1913" s="106"/>
      <c r="I1913" s="107">
        <v>40358.43</v>
      </c>
      <c r="J1913" s="192">
        <f t="shared" si="187"/>
        <v>5642.61</v>
      </c>
      <c r="K1913" s="193">
        <f t="shared" si="188"/>
        <v>45140.88</v>
      </c>
      <c r="L1913" s="193"/>
      <c r="M1913" s="138"/>
      <c r="N1913" s="138"/>
      <c r="O1913" s="138"/>
      <c r="S1913" s="72"/>
      <c r="T1913" s="72"/>
      <c r="U1913" s="72"/>
      <c r="V1913" s="72"/>
    </row>
    <row r="1914" spans="1:22" s="63" customFormat="1" ht="45" x14ac:dyDescent="0.25">
      <c r="A1914" s="101">
        <v>12.44</v>
      </c>
      <c r="B1914" s="102" t="s">
        <v>56</v>
      </c>
      <c r="C1914" s="105">
        <v>40</v>
      </c>
      <c r="D1914" s="167" t="s">
        <v>1684</v>
      </c>
      <c r="E1914" s="104" t="s">
        <v>3767</v>
      </c>
      <c r="F1914" s="102" t="s">
        <v>219</v>
      </c>
      <c r="G1914" s="105">
        <v>2</v>
      </c>
      <c r="H1914" s="106"/>
      <c r="I1914" s="107">
        <v>19953</v>
      </c>
      <c r="J1914" s="192">
        <f t="shared" si="187"/>
        <v>11158.72</v>
      </c>
      <c r="K1914" s="193">
        <f t="shared" si="188"/>
        <v>22317.439999999999</v>
      </c>
      <c r="L1914" s="193"/>
      <c r="M1914" s="138"/>
      <c r="N1914" s="138"/>
      <c r="O1914" s="138"/>
      <c r="S1914" s="72"/>
      <c r="T1914" s="72"/>
      <c r="U1914" s="72"/>
      <c r="V1914" s="72"/>
    </row>
    <row r="1915" spans="1:22" s="63" customFormat="1" ht="45" x14ac:dyDescent="0.25">
      <c r="A1915" s="101">
        <v>12.45</v>
      </c>
      <c r="B1915" s="102" t="s">
        <v>56</v>
      </c>
      <c r="C1915" s="105">
        <v>41</v>
      </c>
      <c r="D1915" s="167" t="s">
        <v>1685</v>
      </c>
      <c r="E1915" s="104" t="s">
        <v>3768</v>
      </c>
      <c r="F1915" s="102" t="s">
        <v>219</v>
      </c>
      <c r="G1915" s="105">
        <v>4</v>
      </c>
      <c r="H1915" s="106"/>
      <c r="I1915" s="107">
        <v>14953.3</v>
      </c>
      <c r="J1915" s="192">
        <f t="shared" si="187"/>
        <v>4181.32</v>
      </c>
      <c r="K1915" s="193">
        <f t="shared" si="188"/>
        <v>16725.28</v>
      </c>
      <c r="L1915" s="193"/>
      <c r="M1915" s="138"/>
      <c r="N1915" s="138"/>
      <c r="O1915" s="138"/>
      <c r="S1915" s="72"/>
      <c r="T1915" s="72"/>
      <c r="U1915" s="72"/>
      <c r="V1915" s="72"/>
    </row>
    <row r="1916" spans="1:22" s="63" customFormat="1" ht="45" x14ac:dyDescent="0.25">
      <c r="A1916" s="101">
        <v>12.46</v>
      </c>
      <c r="B1916" s="102" t="s">
        <v>56</v>
      </c>
      <c r="C1916" s="105">
        <v>42</v>
      </c>
      <c r="D1916" s="167" t="s">
        <v>1686</v>
      </c>
      <c r="E1916" s="104" t="s">
        <v>3769</v>
      </c>
      <c r="F1916" s="102" t="s">
        <v>219</v>
      </c>
      <c r="G1916" s="105">
        <v>35</v>
      </c>
      <c r="H1916" s="106"/>
      <c r="I1916" s="107">
        <v>133881.29</v>
      </c>
      <c r="J1916" s="192">
        <f t="shared" si="187"/>
        <v>4278.46</v>
      </c>
      <c r="K1916" s="193">
        <f t="shared" si="188"/>
        <v>149746.1</v>
      </c>
      <c r="L1916" s="193"/>
      <c r="M1916" s="138"/>
      <c r="N1916" s="138"/>
      <c r="O1916" s="138"/>
      <c r="S1916" s="72"/>
      <c r="T1916" s="72"/>
      <c r="U1916" s="72"/>
      <c r="V1916" s="72"/>
    </row>
    <row r="1917" spans="1:22" s="63" customFormat="1" ht="45" x14ac:dyDescent="0.25">
      <c r="A1917" s="101">
        <v>12.47</v>
      </c>
      <c r="B1917" s="102" t="s">
        <v>56</v>
      </c>
      <c r="C1917" s="105">
        <v>43</v>
      </c>
      <c r="D1917" s="167" t="s">
        <v>1687</v>
      </c>
      <c r="E1917" s="104" t="s">
        <v>3770</v>
      </c>
      <c r="F1917" s="102" t="s">
        <v>219</v>
      </c>
      <c r="G1917" s="105">
        <v>2</v>
      </c>
      <c r="H1917" s="106"/>
      <c r="I1917" s="107">
        <v>12972.36</v>
      </c>
      <c r="J1917" s="192">
        <f t="shared" si="187"/>
        <v>7254.79</v>
      </c>
      <c r="K1917" s="193">
        <f t="shared" si="188"/>
        <v>14509.58</v>
      </c>
      <c r="L1917" s="193"/>
      <c r="M1917" s="138"/>
      <c r="N1917" s="138"/>
      <c r="O1917" s="138"/>
      <c r="S1917" s="72"/>
      <c r="T1917" s="72"/>
      <c r="U1917" s="72"/>
      <c r="V1917" s="72"/>
    </row>
    <row r="1918" spans="1:22" s="63" customFormat="1" ht="45" x14ac:dyDescent="0.25">
      <c r="A1918" s="101">
        <v>12.48</v>
      </c>
      <c r="B1918" s="102" t="s">
        <v>56</v>
      </c>
      <c r="C1918" s="105">
        <v>44</v>
      </c>
      <c r="D1918" s="167" t="s">
        <v>1688</v>
      </c>
      <c r="E1918" s="104" t="s">
        <v>3771</v>
      </c>
      <c r="F1918" s="102" t="s">
        <v>219</v>
      </c>
      <c r="G1918" s="105">
        <v>1</v>
      </c>
      <c r="H1918" s="106"/>
      <c r="I1918" s="107">
        <v>757.62</v>
      </c>
      <c r="J1918" s="192">
        <f t="shared" si="187"/>
        <v>847.4</v>
      </c>
      <c r="K1918" s="193">
        <f t="shared" si="188"/>
        <v>847.4</v>
      </c>
      <c r="L1918" s="193"/>
      <c r="M1918" s="138"/>
      <c r="N1918" s="138"/>
      <c r="O1918" s="138"/>
      <c r="S1918" s="72"/>
      <c r="T1918" s="72"/>
      <c r="U1918" s="72"/>
      <c r="V1918" s="72"/>
    </row>
    <row r="1919" spans="1:22" s="63" customFormat="1" ht="45" x14ac:dyDescent="0.25">
      <c r="A1919" s="101">
        <v>12.49</v>
      </c>
      <c r="B1919" s="102" t="s">
        <v>56</v>
      </c>
      <c r="C1919" s="105">
        <v>45</v>
      </c>
      <c r="D1919" s="167" t="s">
        <v>1689</v>
      </c>
      <c r="E1919" s="104" t="s">
        <v>3772</v>
      </c>
      <c r="F1919" s="102" t="s">
        <v>219</v>
      </c>
      <c r="G1919" s="105">
        <v>2</v>
      </c>
      <c r="H1919" s="106"/>
      <c r="I1919" s="107">
        <v>10865.71</v>
      </c>
      <c r="J1919" s="192">
        <f t="shared" si="187"/>
        <v>6076.65</v>
      </c>
      <c r="K1919" s="193">
        <f t="shared" si="188"/>
        <v>12153.3</v>
      </c>
      <c r="L1919" s="193"/>
      <c r="M1919" s="138"/>
      <c r="N1919" s="138"/>
      <c r="O1919" s="138"/>
      <c r="S1919" s="72"/>
      <c r="T1919" s="72"/>
      <c r="U1919" s="72"/>
      <c r="V1919" s="72"/>
    </row>
    <row r="1920" spans="1:22" s="63" customFormat="1" ht="45" x14ac:dyDescent="0.25">
      <c r="A1920" s="101">
        <v>12.5</v>
      </c>
      <c r="B1920" s="102" t="s">
        <v>56</v>
      </c>
      <c r="C1920" s="105">
        <v>46</v>
      </c>
      <c r="D1920" s="167" t="s">
        <v>1690</v>
      </c>
      <c r="E1920" s="104" t="s">
        <v>3773</v>
      </c>
      <c r="F1920" s="102" t="s">
        <v>219</v>
      </c>
      <c r="G1920" s="105">
        <v>1</v>
      </c>
      <c r="H1920" s="106"/>
      <c r="I1920" s="107">
        <v>3511.01</v>
      </c>
      <c r="J1920" s="192">
        <f t="shared" si="187"/>
        <v>3927.06</v>
      </c>
      <c r="K1920" s="193">
        <f t="shared" si="188"/>
        <v>3927.06</v>
      </c>
      <c r="L1920" s="193"/>
      <c r="M1920" s="138"/>
      <c r="N1920" s="138"/>
      <c r="O1920" s="138"/>
      <c r="S1920" s="72"/>
      <c r="T1920" s="72"/>
      <c r="U1920" s="72"/>
      <c r="V1920" s="72"/>
    </row>
    <row r="1921" spans="1:22" s="63" customFormat="1" ht="45" x14ac:dyDescent="0.25">
      <c r="A1921" s="101">
        <v>12.51</v>
      </c>
      <c r="B1921" s="102" t="s">
        <v>56</v>
      </c>
      <c r="C1921" s="105">
        <v>47</v>
      </c>
      <c r="D1921" s="167" t="s">
        <v>1691</v>
      </c>
      <c r="E1921" s="104" t="s">
        <v>3774</v>
      </c>
      <c r="F1921" s="102" t="s">
        <v>219</v>
      </c>
      <c r="G1921" s="105">
        <v>1</v>
      </c>
      <c r="H1921" s="106"/>
      <c r="I1921" s="107">
        <v>18479.14</v>
      </c>
      <c r="J1921" s="192">
        <f t="shared" si="187"/>
        <v>20668.919999999998</v>
      </c>
      <c r="K1921" s="193">
        <f t="shared" si="188"/>
        <v>20668.919999999998</v>
      </c>
      <c r="L1921" s="193"/>
      <c r="M1921" s="138"/>
      <c r="N1921" s="138"/>
      <c r="O1921" s="138"/>
      <c r="S1921" s="72"/>
      <c r="T1921" s="72"/>
      <c r="U1921" s="72"/>
      <c r="V1921" s="72"/>
    </row>
    <row r="1922" spans="1:22" s="63" customFormat="1" ht="45" x14ac:dyDescent="0.25">
      <c r="A1922" s="101">
        <v>12.52</v>
      </c>
      <c r="B1922" s="102" t="s">
        <v>56</v>
      </c>
      <c r="C1922" s="105">
        <v>48</v>
      </c>
      <c r="D1922" s="167" t="s">
        <v>1692</v>
      </c>
      <c r="E1922" s="104" t="s">
        <v>3775</v>
      </c>
      <c r="F1922" s="102" t="s">
        <v>219</v>
      </c>
      <c r="G1922" s="105">
        <v>2</v>
      </c>
      <c r="H1922" s="106"/>
      <c r="I1922" s="107">
        <v>9054.7900000000009</v>
      </c>
      <c r="J1922" s="192">
        <f t="shared" si="187"/>
        <v>5063.8900000000003</v>
      </c>
      <c r="K1922" s="193">
        <f t="shared" si="188"/>
        <v>10127.780000000001</v>
      </c>
      <c r="L1922" s="193"/>
      <c r="M1922" s="138"/>
      <c r="N1922" s="138"/>
      <c r="O1922" s="138"/>
      <c r="S1922" s="72"/>
      <c r="T1922" s="72"/>
      <c r="U1922" s="72"/>
      <c r="V1922" s="72"/>
    </row>
    <row r="1923" spans="1:22" s="63" customFormat="1" ht="45" x14ac:dyDescent="0.25">
      <c r="A1923" s="101">
        <v>12.53</v>
      </c>
      <c r="B1923" s="102" t="s">
        <v>56</v>
      </c>
      <c r="C1923" s="105">
        <v>49</v>
      </c>
      <c r="D1923" s="167" t="s">
        <v>1693</v>
      </c>
      <c r="E1923" s="104" t="s">
        <v>3776</v>
      </c>
      <c r="F1923" s="102" t="s">
        <v>219</v>
      </c>
      <c r="G1923" s="105">
        <v>4</v>
      </c>
      <c r="H1923" s="106"/>
      <c r="I1923" s="107">
        <v>48784.92</v>
      </c>
      <c r="J1923" s="192">
        <f t="shared" si="187"/>
        <v>13641.48</v>
      </c>
      <c r="K1923" s="193">
        <f t="shared" si="188"/>
        <v>54565.919999999998</v>
      </c>
      <c r="L1923" s="193"/>
      <c r="M1923" s="138"/>
      <c r="N1923" s="138"/>
      <c r="O1923" s="138"/>
      <c r="S1923" s="72"/>
      <c r="T1923" s="72"/>
      <c r="U1923" s="72"/>
      <c r="V1923" s="72"/>
    </row>
    <row r="1924" spans="1:22" s="63" customFormat="1" ht="45" x14ac:dyDescent="0.25">
      <c r="A1924" s="101">
        <v>12.54</v>
      </c>
      <c r="B1924" s="102" t="s">
        <v>56</v>
      </c>
      <c r="C1924" s="105">
        <v>50</v>
      </c>
      <c r="D1924" s="167" t="s">
        <v>1694</v>
      </c>
      <c r="E1924" s="104" t="s">
        <v>3777</v>
      </c>
      <c r="F1924" s="102" t="s">
        <v>219</v>
      </c>
      <c r="G1924" s="105">
        <v>2</v>
      </c>
      <c r="H1924" s="106"/>
      <c r="I1924" s="107">
        <v>20885.13</v>
      </c>
      <c r="J1924" s="192">
        <f t="shared" si="187"/>
        <v>11680.01</v>
      </c>
      <c r="K1924" s="193">
        <f t="shared" si="188"/>
        <v>23360.02</v>
      </c>
      <c r="L1924" s="193"/>
      <c r="M1924" s="138"/>
      <c r="N1924" s="138"/>
      <c r="O1924" s="138"/>
      <c r="S1924" s="72"/>
      <c r="T1924" s="72"/>
      <c r="U1924" s="72"/>
      <c r="V1924" s="72"/>
    </row>
    <row r="1925" spans="1:22" s="63" customFormat="1" ht="15" x14ac:dyDescent="0.25">
      <c r="A1925" s="87">
        <v>12.55</v>
      </c>
      <c r="B1925" s="81" t="s">
        <v>56</v>
      </c>
      <c r="C1925" s="82">
        <v>51</v>
      </c>
      <c r="D1925" s="131" t="s">
        <v>1695</v>
      </c>
      <c r="E1925" s="83" t="s">
        <v>1696</v>
      </c>
      <c r="F1925" s="81" t="s">
        <v>219</v>
      </c>
      <c r="G1925" s="82">
        <v>2</v>
      </c>
      <c r="H1925" s="85"/>
      <c r="I1925" s="86">
        <v>2090.15</v>
      </c>
      <c r="J1925" s="185">
        <f>ROUND($I1925/$G1925*$N$11,2)</f>
        <v>1189.92</v>
      </c>
      <c r="K1925" s="189">
        <f t="shared" si="188"/>
        <v>2379.84</v>
      </c>
      <c r="L1925" s="189"/>
      <c r="M1925" s="138"/>
      <c r="N1925" s="138"/>
      <c r="O1925" s="138"/>
      <c r="S1925" s="72"/>
      <c r="T1925" s="72"/>
      <c r="U1925" s="72"/>
      <c r="V1925" s="72"/>
    </row>
    <row r="1926" spans="1:22" s="63" customFormat="1" ht="45" x14ac:dyDescent="0.25">
      <c r="A1926" s="101">
        <v>12.56</v>
      </c>
      <c r="B1926" s="102" t="s">
        <v>56</v>
      </c>
      <c r="C1926" s="103">
        <v>51.1</v>
      </c>
      <c r="D1926" s="167" t="s">
        <v>1697</v>
      </c>
      <c r="E1926" s="104" t="s">
        <v>3778</v>
      </c>
      <c r="F1926" s="102" t="s">
        <v>219</v>
      </c>
      <c r="G1926" s="105">
        <v>2</v>
      </c>
      <c r="H1926" s="106"/>
      <c r="I1926" s="107">
        <v>6966.64</v>
      </c>
      <c r="J1926" s="192">
        <f>ROUND($I1926/$G1926*$N$12,2)</f>
        <v>3896.09</v>
      </c>
      <c r="K1926" s="193">
        <f t="shared" si="188"/>
        <v>7792.18</v>
      </c>
      <c r="L1926" s="193"/>
      <c r="M1926" s="138"/>
      <c r="N1926" s="138"/>
      <c r="O1926" s="138"/>
      <c r="S1926" s="72"/>
      <c r="T1926" s="72"/>
      <c r="U1926" s="72"/>
      <c r="V1926" s="72"/>
    </row>
    <row r="1927" spans="1:22" s="63" customFormat="1" ht="45" x14ac:dyDescent="0.25">
      <c r="A1927" s="101">
        <v>12.57</v>
      </c>
      <c r="B1927" s="102" t="s">
        <v>56</v>
      </c>
      <c r="C1927" s="103">
        <v>51.2</v>
      </c>
      <c r="D1927" s="167" t="s">
        <v>1698</v>
      </c>
      <c r="E1927" s="104" t="s">
        <v>3779</v>
      </c>
      <c r="F1927" s="102" t="s">
        <v>219</v>
      </c>
      <c r="G1927" s="105">
        <v>2</v>
      </c>
      <c r="H1927" s="106"/>
      <c r="I1927" s="107">
        <v>1234.4000000000001</v>
      </c>
      <c r="J1927" s="192">
        <f>ROUND($I1927/$G1927*$N$12,2)</f>
        <v>690.34</v>
      </c>
      <c r="K1927" s="193">
        <f t="shared" si="188"/>
        <v>1380.68</v>
      </c>
      <c r="L1927" s="193"/>
      <c r="M1927" s="138"/>
      <c r="N1927" s="138"/>
      <c r="O1927" s="138"/>
      <c r="S1927" s="72"/>
      <c r="T1927" s="72"/>
      <c r="U1927" s="72"/>
      <c r="V1927" s="72"/>
    </row>
    <row r="1928" spans="1:22" s="128" customFormat="1" ht="12.75" x14ac:dyDescent="0.25">
      <c r="A1928" s="273"/>
      <c r="B1928" s="263"/>
      <c r="C1928" s="262"/>
      <c r="D1928" s="219"/>
      <c r="E1928" s="248" t="s">
        <v>3323</v>
      </c>
      <c r="F1928" s="263"/>
      <c r="G1928" s="216"/>
      <c r="H1928" s="264"/>
      <c r="I1928" s="221"/>
      <c r="J1928" s="265"/>
      <c r="K1928" s="266"/>
      <c r="L1928" s="266"/>
      <c r="M1928" s="79"/>
      <c r="N1928" s="79"/>
      <c r="O1928" s="79"/>
      <c r="S1928" s="129"/>
      <c r="T1928" s="129"/>
      <c r="U1928" s="129"/>
      <c r="V1928" s="129"/>
    </row>
    <row r="1929" spans="1:22" s="63" customFormat="1" ht="45" x14ac:dyDescent="0.25">
      <c r="A1929" s="118">
        <v>12.58</v>
      </c>
      <c r="B1929" s="119" t="s">
        <v>56</v>
      </c>
      <c r="C1929" s="120">
        <v>52</v>
      </c>
      <c r="D1929" s="169" t="s">
        <v>1699</v>
      </c>
      <c r="E1929" s="121" t="s">
        <v>3780</v>
      </c>
      <c r="F1929" s="119" t="s">
        <v>219</v>
      </c>
      <c r="G1929" s="120">
        <v>2</v>
      </c>
      <c r="H1929" s="122"/>
      <c r="I1929" s="123">
        <v>38806.199999999997</v>
      </c>
      <c r="J1929" s="192">
        <f>ROUND($I1929/$G1929*$N$12,2)</f>
        <v>21702.37</v>
      </c>
      <c r="K1929" s="193">
        <f t="shared" ref="K1929:K1938" si="189">ROUND(G1929*J1929,2)</f>
        <v>43404.74</v>
      </c>
      <c r="L1929" s="193"/>
      <c r="M1929" s="138"/>
      <c r="N1929" s="138"/>
      <c r="O1929" s="138"/>
      <c r="S1929" s="72"/>
      <c r="T1929" s="72"/>
      <c r="U1929" s="72"/>
      <c r="V1929" s="72"/>
    </row>
    <row r="1930" spans="1:22" s="63" customFormat="1" ht="45" x14ac:dyDescent="0.25">
      <c r="A1930" s="118">
        <v>12.59</v>
      </c>
      <c r="B1930" s="119" t="s">
        <v>56</v>
      </c>
      <c r="C1930" s="120">
        <v>53</v>
      </c>
      <c r="D1930" s="169" t="s">
        <v>1700</v>
      </c>
      <c r="E1930" s="121" t="s">
        <v>3781</v>
      </c>
      <c r="F1930" s="119" t="s">
        <v>219</v>
      </c>
      <c r="G1930" s="120">
        <v>2</v>
      </c>
      <c r="H1930" s="122"/>
      <c r="I1930" s="123">
        <v>32597.18</v>
      </c>
      <c r="J1930" s="192">
        <f>ROUND($I1930/$G1930*$N$12,2)</f>
        <v>18229.97</v>
      </c>
      <c r="K1930" s="193">
        <f t="shared" si="189"/>
        <v>36459.94</v>
      </c>
      <c r="L1930" s="193"/>
      <c r="M1930" s="138"/>
      <c r="N1930" s="138"/>
      <c r="O1930" s="138"/>
      <c r="S1930" s="72"/>
      <c r="T1930" s="72"/>
      <c r="U1930" s="72"/>
      <c r="V1930" s="72"/>
    </row>
    <row r="1931" spans="1:22" s="63" customFormat="1" ht="45" x14ac:dyDescent="0.25">
      <c r="A1931" s="118">
        <v>12.6</v>
      </c>
      <c r="B1931" s="119" t="s">
        <v>56</v>
      </c>
      <c r="C1931" s="120">
        <v>54</v>
      </c>
      <c r="D1931" s="169" t="s">
        <v>1701</v>
      </c>
      <c r="E1931" s="121" t="s">
        <v>3782</v>
      </c>
      <c r="F1931" s="119" t="s">
        <v>219</v>
      </c>
      <c r="G1931" s="120">
        <v>2</v>
      </c>
      <c r="H1931" s="122"/>
      <c r="I1931" s="123">
        <v>51408.95</v>
      </c>
      <c r="J1931" s="192">
        <f>ROUND($I1931/$G1931*$N$12,2)</f>
        <v>28750.46</v>
      </c>
      <c r="K1931" s="193">
        <f t="shared" si="189"/>
        <v>57500.92</v>
      </c>
      <c r="L1931" s="193"/>
      <c r="M1931" s="138"/>
      <c r="N1931" s="138"/>
      <c r="O1931" s="138"/>
      <c r="S1931" s="72"/>
      <c r="T1931" s="72"/>
      <c r="U1931" s="72"/>
      <c r="V1931" s="72"/>
    </row>
    <row r="1932" spans="1:22" s="63" customFormat="1" ht="45" x14ac:dyDescent="0.25">
      <c r="A1932" s="118">
        <v>12.61</v>
      </c>
      <c r="B1932" s="119" t="s">
        <v>56</v>
      </c>
      <c r="C1932" s="120">
        <v>55</v>
      </c>
      <c r="D1932" s="169" t="s">
        <v>1702</v>
      </c>
      <c r="E1932" s="121" t="s">
        <v>3783</v>
      </c>
      <c r="F1932" s="119" t="s">
        <v>219</v>
      </c>
      <c r="G1932" s="120">
        <v>1</v>
      </c>
      <c r="H1932" s="122"/>
      <c r="I1932" s="123">
        <v>34260.33</v>
      </c>
      <c r="J1932" s="192">
        <f>ROUND($I1932/$G1932*$N$12,2)</f>
        <v>38320.18</v>
      </c>
      <c r="K1932" s="193">
        <f t="shared" si="189"/>
        <v>38320.18</v>
      </c>
      <c r="L1932" s="193"/>
      <c r="M1932" s="138"/>
      <c r="N1932" s="138"/>
      <c r="O1932" s="138"/>
      <c r="S1932" s="72"/>
      <c r="T1932" s="72"/>
      <c r="U1932" s="72"/>
      <c r="V1932" s="72"/>
    </row>
    <row r="1933" spans="1:22" s="63" customFormat="1" ht="15" x14ac:dyDescent="0.25">
      <c r="A1933" s="87">
        <v>12.62</v>
      </c>
      <c r="B1933" s="81" t="s">
        <v>56</v>
      </c>
      <c r="C1933" s="82">
        <v>56</v>
      </c>
      <c r="D1933" s="131" t="s">
        <v>913</v>
      </c>
      <c r="E1933" s="83" t="s">
        <v>914</v>
      </c>
      <c r="F1933" s="81" t="s">
        <v>687</v>
      </c>
      <c r="G1933" s="80">
        <v>0.1</v>
      </c>
      <c r="H1933" s="85"/>
      <c r="I1933" s="86">
        <v>4149.34</v>
      </c>
      <c r="J1933" s="185">
        <f>ROUND($I1933/$G1933*$N$11,2)</f>
        <v>47244.39</v>
      </c>
      <c r="K1933" s="189">
        <f t="shared" si="189"/>
        <v>4724.4399999999996</v>
      </c>
      <c r="L1933" s="189"/>
      <c r="M1933" s="138"/>
      <c r="N1933" s="138"/>
      <c r="O1933" s="138"/>
      <c r="S1933" s="72"/>
      <c r="T1933" s="72"/>
      <c r="U1933" s="72"/>
      <c r="V1933" s="72"/>
    </row>
    <row r="1934" spans="1:22" s="63" customFormat="1" ht="45" x14ac:dyDescent="0.25">
      <c r="A1934" s="101">
        <v>12.63</v>
      </c>
      <c r="B1934" s="102" t="s">
        <v>56</v>
      </c>
      <c r="C1934" s="103">
        <v>56.1</v>
      </c>
      <c r="D1934" s="167" t="s">
        <v>915</v>
      </c>
      <c r="E1934" s="104" t="s">
        <v>916</v>
      </c>
      <c r="F1934" s="102" t="s">
        <v>491</v>
      </c>
      <c r="G1934" s="105">
        <v>1</v>
      </c>
      <c r="H1934" s="106"/>
      <c r="I1934" s="107">
        <v>8181.22</v>
      </c>
      <c r="J1934" s="192">
        <f>ROUND($I1934/$G1934*$N$12,2)</f>
        <v>9150.69</v>
      </c>
      <c r="K1934" s="193">
        <f t="shared" si="189"/>
        <v>9150.69</v>
      </c>
      <c r="L1934" s="193"/>
      <c r="M1934" s="138"/>
      <c r="N1934" s="138"/>
      <c r="O1934" s="138"/>
      <c r="S1934" s="72"/>
      <c r="T1934" s="72"/>
      <c r="U1934" s="72"/>
      <c r="V1934" s="72"/>
    </row>
    <row r="1935" spans="1:22" s="63" customFormat="1" ht="45" x14ac:dyDescent="0.25">
      <c r="A1935" s="101">
        <v>12.64</v>
      </c>
      <c r="B1935" s="102" t="s">
        <v>56</v>
      </c>
      <c r="C1935" s="105">
        <v>57</v>
      </c>
      <c r="D1935" s="167" t="s">
        <v>1703</v>
      </c>
      <c r="E1935" s="104" t="s">
        <v>3784</v>
      </c>
      <c r="F1935" s="102" t="s">
        <v>219</v>
      </c>
      <c r="G1935" s="105">
        <v>2</v>
      </c>
      <c r="H1935" s="106"/>
      <c r="I1935" s="107">
        <v>831626.18</v>
      </c>
      <c r="J1935" s="192">
        <f>ROUND($I1935/$G1935*$N$12,2)</f>
        <v>465086.94</v>
      </c>
      <c r="K1935" s="193">
        <f t="shared" si="189"/>
        <v>930173.88</v>
      </c>
      <c r="L1935" s="193"/>
      <c r="M1935" s="138"/>
      <c r="N1935" s="138"/>
      <c r="O1935" s="138"/>
      <c r="S1935" s="72"/>
      <c r="T1935" s="72"/>
      <c r="U1935" s="72"/>
      <c r="V1935" s="72"/>
    </row>
    <row r="1936" spans="1:22" s="63" customFormat="1" ht="45" x14ac:dyDescent="0.25">
      <c r="A1936" s="101">
        <v>12.65</v>
      </c>
      <c r="B1936" s="102" t="s">
        <v>56</v>
      </c>
      <c r="C1936" s="105">
        <v>58</v>
      </c>
      <c r="D1936" s="167" t="s">
        <v>1704</v>
      </c>
      <c r="E1936" s="104" t="s">
        <v>3785</v>
      </c>
      <c r="F1936" s="102" t="s">
        <v>219</v>
      </c>
      <c r="G1936" s="105">
        <v>2</v>
      </c>
      <c r="H1936" s="106"/>
      <c r="I1936" s="107">
        <v>565594.49</v>
      </c>
      <c r="J1936" s="192">
        <f>ROUND($I1936/$G1936*$N$12,2)</f>
        <v>316308.71999999997</v>
      </c>
      <c r="K1936" s="193">
        <f t="shared" si="189"/>
        <v>632617.43999999994</v>
      </c>
      <c r="L1936" s="193"/>
      <c r="M1936" s="138"/>
      <c r="N1936" s="138"/>
      <c r="O1936" s="138"/>
      <c r="S1936" s="72"/>
      <c r="T1936" s="72"/>
      <c r="U1936" s="72"/>
      <c r="V1936" s="72"/>
    </row>
    <row r="1937" spans="1:22" s="63" customFormat="1" ht="45" x14ac:dyDescent="0.25">
      <c r="A1937" s="101">
        <v>12.66</v>
      </c>
      <c r="B1937" s="102" t="s">
        <v>56</v>
      </c>
      <c r="C1937" s="105">
        <v>59</v>
      </c>
      <c r="D1937" s="167" t="s">
        <v>1705</v>
      </c>
      <c r="E1937" s="104" t="s">
        <v>3786</v>
      </c>
      <c r="F1937" s="102" t="s">
        <v>219</v>
      </c>
      <c r="G1937" s="105">
        <v>1</v>
      </c>
      <c r="H1937" s="106"/>
      <c r="I1937" s="107">
        <v>147851.51</v>
      </c>
      <c r="J1937" s="192">
        <f>ROUND($I1937/$G1937*$N$12,2)</f>
        <v>165371.91</v>
      </c>
      <c r="K1937" s="193">
        <f t="shared" si="189"/>
        <v>165371.91</v>
      </c>
      <c r="L1937" s="193"/>
      <c r="M1937" s="138"/>
      <c r="N1937" s="138"/>
      <c r="O1937" s="138"/>
      <c r="S1937" s="72"/>
      <c r="T1937" s="72"/>
      <c r="U1937" s="72"/>
      <c r="V1937" s="72"/>
    </row>
    <row r="1938" spans="1:22" s="63" customFormat="1" ht="45" x14ac:dyDescent="0.25">
      <c r="A1938" s="101">
        <v>12.67</v>
      </c>
      <c r="B1938" s="102" t="s">
        <v>56</v>
      </c>
      <c r="C1938" s="105">
        <v>60</v>
      </c>
      <c r="D1938" s="167" t="s">
        <v>1706</v>
      </c>
      <c r="E1938" s="104" t="s">
        <v>3787</v>
      </c>
      <c r="F1938" s="102" t="s">
        <v>219</v>
      </c>
      <c r="G1938" s="105">
        <v>1</v>
      </c>
      <c r="H1938" s="106"/>
      <c r="I1938" s="107">
        <v>234832.82</v>
      </c>
      <c r="J1938" s="192">
        <f>ROUND($I1938/$G1938*$N$12,2)</f>
        <v>262660.51</v>
      </c>
      <c r="K1938" s="193">
        <f t="shared" si="189"/>
        <v>262660.51</v>
      </c>
      <c r="L1938" s="193"/>
      <c r="M1938" s="138"/>
      <c r="N1938" s="138"/>
      <c r="O1938" s="138"/>
      <c r="S1938" s="72"/>
      <c r="T1938" s="72"/>
      <c r="U1938" s="72"/>
      <c r="V1938" s="72"/>
    </row>
    <row r="1939" spans="1:22" s="275" customFormat="1" ht="12.75" x14ac:dyDescent="0.25">
      <c r="A1939" s="273"/>
      <c r="B1939" s="263"/>
      <c r="C1939" s="216"/>
      <c r="D1939" s="219"/>
      <c r="E1939" s="248" t="s">
        <v>3324</v>
      </c>
      <c r="F1939" s="263"/>
      <c r="G1939" s="216"/>
      <c r="H1939" s="264"/>
      <c r="I1939" s="221"/>
      <c r="J1939" s="265"/>
      <c r="K1939" s="266"/>
      <c r="L1939" s="266"/>
      <c r="M1939" s="274"/>
      <c r="N1939" s="274"/>
      <c r="O1939" s="274"/>
      <c r="S1939" s="276"/>
      <c r="T1939" s="276"/>
      <c r="U1939" s="276"/>
      <c r="V1939" s="276"/>
    </row>
    <row r="1940" spans="1:22" s="63" customFormat="1" ht="45" x14ac:dyDescent="0.25">
      <c r="A1940" s="101">
        <v>12.68</v>
      </c>
      <c r="B1940" s="102" t="s">
        <v>56</v>
      </c>
      <c r="C1940" s="105">
        <v>61</v>
      </c>
      <c r="D1940" s="167" t="s">
        <v>1707</v>
      </c>
      <c r="E1940" s="104" t="s">
        <v>3788</v>
      </c>
      <c r="F1940" s="102" t="s">
        <v>219</v>
      </c>
      <c r="G1940" s="105">
        <v>1</v>
      </c>
      <c r="H1940" s="106"/>
      <c r="I1940" s="107">
        <v>1478.35</v>
      </c>
      <c r="J1940" s="192">
        <f>ROUND($I1940/$G1940*$N$12,2)</f>
        <v>1653.53</v>
      </c>
      <c r="K1940" s="193">
        <f t="shared" ref="K1940:K1971" si="190">ROUND(G1940*J1940,2)</f>
        <v>1653.53</v>
      </c>
      <c r="L1940" s="193"/>
      <c r="M1940" s="138"/>
      <c r="N1940" s="138"/>
      <c r="O1940" s="138"/>
      <c r="S1940" s="72"/>
      <c r="T1940" s="72"/>
      <c r="U1940" s="72"/>
      <c r="V1940" s="72"/>
    </row>
    <row r="1941" spans="1:22" s="63" customFormat="1" ht="45" x14ac:dyDescent="0.25">
      <c r="A1941" s="101">
        <v>12.69</v>
      </c>
      <c r="B1941" s="102" t="s">
        <v>56</v>
      </c>
      <c r="C1941" s="105">
        <v>62</v>
      </c>
      <c r="D1941" s="167" t="s">
        <v>1708</v>
      </c>
      <c r="E1941" s="104" t="s">
        <v>3789</v>
      </c>
      <c r="F1941" s="102" t="s">
        <v>219</v>
      </c>
      <c r="G1941" s="105">
        <v>2</v>
      </c>
      <c r="H1941" s="106"/>
      <c r="I1941" s="107">
        <v>24392.44</v>
      </c>
      <c r="J1941" s="192">
        <f>ROUND($I1941/$G1941*$N$12,2)</f>
        <v>13641.47</v>
      </c>
      <c r="K1941" s="193">
        <f t="shared" si="190"/>
        <v>27282.94</v>
      </c>
      <c r="L1941" s="193"/>
      <c r="M1941" s="138"/>
      <c r="N1941" s="138"/>
      <c r="O1941" s="138"/>
      <c r="S1941" s="72"/>
      <c r="T1941" s="72"/>
      <c r="U1941" s="72"/>
      <c r="V1941" s="72"/>
    </row>
    <row r="1942" spans="1:22" s="63" customFormat="1" ht="45" x14ac:dyDescent="0.25">
      <c r="A1942" s="101">
        <v>12.7</v>
      </c>
      <c r="B1942" s="102" t="s">
        <v>56</v>
      </c>
      <c r="C1942" s="105">
        <v>63</v>
      </c>
      <c r="D1942" s="167" t="s">
        <v>1709</v>
      </c>
      <c r="E1942" s="104" t="s">
        <v>3790</v>
      </c>
      <c r="F1942" s="102" t="s">
        <v>219</v>
      </c>
      <c r="G1942" s="105">
        <v>10</v>
      </c>
      <c r="H1942" s="106"/>
      <c r="I1942" s="107">
        <v>104425.61</v>
      </c>
      <c r="J1942" s="192">
        <f>ROUND($I1942/$G1942*$N$12,2)</f>
        <v>11680</v>
      </c>
      <c r="K1942" s="193">
        <f t="shared" si="190"/>
        <v>116800</v>
      </c>
      <c r="L1942" s="193"/>
      <c r="M1942" s="138"/>
      <c r="N1942" s="138"/>
      <c r="O1942" s="138"/>
      <c r="S1942" s="72"/>
      <c r="T1942" s="72"/>
      <c r="U1942" s="72"/>
      <c r="V1942" s="72"/>
    </row>
    <row r="1943" spans="1:22" s="63" customFormat="1" ht="15" x14ac:dyDescent="0.25">
      <c r="A1943" s="87">
        <v>12.71</v>
      </c>
      <c r="B1943" s="81" t="s">
        <v>56</v>
      </c>
      <c r="C1943" s="82">
        <v>64</v>
      </c>
      <c r="D1943" s="131" t="s">
        <v>1695</v>
      </c>
      <c r="E1943" s="83" t="s">
        <v>1696</v>
      </c>
      <c r="F1943" s="81" t="s">
        <v>219</v>
      </c>
      <c r="G1943" s="82">
        <v>1</v>
      </c>
      <c r="H1943" s="85"/>
      <c r="I1943" s="86">
        <v>1045.08</v>
      </c>
      <c r="J1943" s="185">
        <f>ROUND($I1943/$G1943*$N$11,2)</f>
        <v>1189.93</v>
      </c>
      <c r="K1943" s="189">
        <f t="shared" si="190"/>
        <v>1189.93</v>
      </c>
      <c r="L1943" s="189"/>
      <c r="M1943" s="138"/>
      <c r="N1943" s="138"/>
      <c r="O1943" s="138"/>
      <c r="S1943" s="72"/>
      <c r="T1943" s="72"/>
      <c r="U1943" s="72"/>
      <c r="V1943" s="72"/>
    </row>
    <row r="1944" spans="1:22" s="63" customFormat="1" ht="45" x14ac:dyDescent="0.25">
      <c r="A1944" s="101">
        <v>12.72</v>
      </c>
      <c r="B1944" s="102" t="s">
        <v>56</v>
      </c>
      <c r="C1944" s="103">
        <v>64.099999999999994</v>
      </c>
      <c r="D1944" s="167" t="s">
        <v>1710</v>
      </c>
      <c r="E1944" s="104" t="s">
        <v>3778</v>
      </c>
      <c r="F1944" s="102" t="s">
        <v>219</v>
      </c>
      <c r="G1944" s="105">
        <v>1</v>
      </c>
      <c r="H1944" s="106"/>
      <c r="I1944" s="107">
        <v>3483.34</v>
      </c>
      <c r="J1944" s="192">
        <f>ROUND($I1944/$G1944*$N$12,2)</f>
        <v>3896.12</v>
      </c>
      <c r="K1944" s="193">
        <f t="shared" si="190"/>
        <v>3896.12</v>
      </c>
      <c r="L1944" s="193"/>
      <c r="M1944" s="138"/>
      <c r="N1944" s="138"/>
      <c r="O1944" s="138"/>
      <c r="S1944" s="72"/>
      <c r="T1944" s="72"/>
      <c r="U1944" s="72"/>
      <c r="V1944" s="72"/>
    </row>
    <row r="1945" spans="1:22" s="63" customFormat="1" ht="45" x14ac:dyDescent="0.25">
      <c r="A1945" s="101">
        <v>12.73</v>
      </c>
      <c r="B1945" s="102" t="s">
        <v>56</v>
      </c>
      <c r="C1945" s="105">
        <v>65</v>
      </c>
      <c r="D1945" s="167" t="s">
        <v>1711</v>
      </c>
      <c r="E1945" s="104" t="s">
        <v>3791</v>
      </c>
      <c r="F1945" s="102" t="s">
        <v>219</v>
      </c>
      <c r="G1945" s="105">
        <v>1</v>
      </c>
      <c r="H1945" s="106"/>
      <c r="I1945" s="107">
        <v>36956.44</v>
      </c>
      <c r="J1945" s="192">
        <f>ROUND($I1945/$G1945*$N$12,2)</f>
        <v>41335.78</v>
      </c>
      <c r="K1945" s="193">
        <f t="shared" si="190"/>
        <v>41335.78</v>
      </c>
      <c r="L1945" s="193"/>
      <c r="M1945" s="138"/>
      <c r="N1945" s="138"/>
      <c r="O1945" s="138"/>
      <c r="S1945" s="72"/>
      <c r="T1945" s="72"/>
      <c r="U1945" s="72"/>
      <c r="V1945" s="72"/>
    </row>
    <row r="1946" spans="1:22" s="63" customFormat="1" ht="45" x14ac:dyDescent="0.25">
      <c r="A1946" s="101">
        <v>12.74</v>
      </c>
      <c r="B1946" s="102" t="s">
        <v>56</v>
      </c>
      <c r="C1946" s="105">
        <v>66</v>
      </c>
      <c r="D1946" s="167" t="s">
        <v>1712</v>
      </c>
      <c r="E1946" s="104" t="s">
        <v>3792</v>
      </c>
      <c r="F1946" s="102" t="s">
        <v>219</v>
      </c>
      <c r="G1946" s="105">
        <v>1</v>
      </c>
      <c r="H1946" s="106"/>
      <c r="I1946" s="107">
        <v>29197.040000000001</v>
      </c>
      <c r="J1946" s="192">
        <f>ROUND($I1946/$G1946*$N$12,2)</f>
        <v>32656.89</v>
      </c>
      <c r="K1946" s="193">
        <f t="shared" si="190"/>
        <v>32656.89</v>
      </c>
      <c r="L1946" s="193"/>
      <c r="M1946" s="138"/>
      <c r="N1946" s="138"/>
      <c r="O1946" s="138"/>
      <c r="S1946" s="72"/>
      <c r="T1946" s="72"/>
      <c r="U1946" s="72"/>
      <c r="V1946" s="72"/>
    </row>
    <row r="1947" spans="1:22" s="63" customFormat="1" ht="45" x14ac:dyDescent="0.25">
      <c r="A1947" s="101">
        <v>12.75</v>
      </c>
      <c r="B1947" s="102" t="s">
        <v>56</v>
      </c>
      <c r="C1947" s="105">
        <v>67</v>
      </c>
      <c r="D1947" s="167" t="s">
        <v>1713</v>
      </c>
      <c r="E1947" s="104" t="s">
        <v>3793</v>
      </c>
      <c r="F1947" s="102" t="s">
        <v>219</v>
      </c>
      <c r="G1947" s="105">
        <v>2</v>
      </c>
      <c r="H1947" s="106"/>
      <c r="I1947" s="107">
        <v>8552.15</v>
      </c>
      <c r="J1947" s="192">
        <f>ROUND($I1947/$G1947*$N$12,2)</f>
        <v>4782.79</v>
      </c>
      <c r="K1947" s="193">
        <f t="shared" si="190"/>
        <v>9565.58</v>
      </c>
      <c r="L1947" s="193"/>
      <c r="M1947" s="138"/>
      <c r="N1947" s="138"/>
      <c r="O1947" s="138"/>
      <c r="S1947" s="72"/>
      <c r="T1947" s="72"/>
      <c r="U1947" s="72"/>
      <c r="V1947" s="72"/>
    </row>
    <row r="1948" spans="1:22" s="63" customFormat="1" ht="45" x14ac:dyDescent="0.25">
      <c r="A1948" s="101">
        <v>12.76</v>
      </c>
      <c r="B1948" s="102" t="s">
        <v>56</v>
      </c>
      <c r="C1948" s="105">
        <v>68</v>
      </c>
      <c r="D1948" s="167" t="s">
        <v>1714</v>
      </c>
      <c r="E1948" s="104" t="s">
        <v>3794</v>
      </c>
      <c r="F1948" s="102" t="s">
        <v>219</v>
      </c>
      <c r="G1948" s="105">
        <v>7</v>
      </c>
      <c r="H1948" s="106"/>
      <c r="I1948" s="107">
        <v>12818.98</v>
      </c>
      <c r="J1948" s="192">
        <f>ROUND($I1948/$G1948*$N$12,2)</f>
        <v>2048.29</v>
      </c>
      <c r="K1948" s="193">
        <f t="shared" si="190"/>
        <v>14338.03</v>
      </c>
      <c r="L1948" s="193"/>
      <c r="M1948" s="138"/>
      <c r="N1948" s="138"/>
      <c r="O1948" s="138"/>
      <c r="S1948" s="72"/>
      <c r="T1948" s="72"/>
      <c r="U1948" s="72"/>
      <c r="V1948" s="72"/>
    </row>
    <row r="1949" spans="1:22" s="63" customFormat="1" ht="15" x14ac:dyDescent="0.25">
      <c r="A1949" s="87">
        <v>12.77</v>
      </c>
      <c r="B1949" s="81" t="s">
        <v>56</v>
      </c>
      <c r="C1949" s="82">
        <v>69</v>
      </c>
      <c r="D1949" s="131" t="s">
        <v>919</v>
      </c>
      <c r="E1949" s="83" t="s">
        <v>920</v>
      </c>
      <c r="F1949" s="81" t="s">
        <v>687</v>
      </c>
      <c r="G1949" s="80">
        <v>0.1</v>
      </c>
      <c r="H1949" s="85"/>
      <c r="I1949" s="86">
        <v>3215.06</v>
      </c>
      <c r="J1949" s="185">
        <f>ROUND($I1949/$G1949*$N$11,2)</f>
        <v>36606.67</v>
      </c>
      <c r="K1949" s="189">
        <f t="shared" si="190"/>
        <v>3660.67</v>
      </c>
      <c r="L1949" s="189"/>
      <c r="M1949" s="138"/>
      <c r="N1949" s="138"/>
      <c r="O1949" s="138"/>
      <c r="S1949" s="72"/>
      <c r="T1949" s="72"/>
      <c r="U1949" s="72"/>
      <c r="V1949" s="72"/>
    </row>
    <row r="1950" spans="1:22" s="63" customFormat="1" ht="22.5" x14ac:dyDescent="0.25">
      <c r="A1950" s="101">
        <v>12.78</v>
      </c>
      <c r="B1950" s="102" t="s">
        <v>56</v>
      </c>
      <c r="C1950" s="103">
        <v>69.099999999999994</v>
      </c>
      <c r="D1950" s="167" t="s">
        <v>1715</v>
      </c>
      <c r="E1950" s="104" t="s">
        <v>1716</v>
      </c>
      <c r="F1950" s="102" t="s">
        <v>219</v>
      </c>
      <c r="G1950" s="105">
        <v>1</v>
      </c>
      <c r="H1950" s="106"/>
      <c r="I1950" s="107">
        <v>9584.61</v>
      </c>
      <c r="J1950" s="192">
        <f t="shared" ref="J1950:J1960" si="191">ROUND($I1950/$G1950*$N$12,2)</f>
        <v>10720.39</v>
      </c>
      <c r="K1950" s="193">
        <f t="shared" si="190"/>
        <v>10720.39</v>
      </c>
      <c r="L1950" s="193"/>
      <c r="M1950" s="138"/>
      <c r="N1950" s="138"/>
      <c r="O1950" s="138"/>
      <c r="S1950" s="72"/>
      <c r="T1950" s="72"/>
      <c r="U1950" s="72"/>
      <c r="V1950" s="72"/>
    </row>
    <row r="1951" spans="1:22" s="63" customFormat="1" ht="45" x14ac:dyDescent="0.25">
      <c r="A1951" s="101">
        <v>12.79</v>
      </c>
      <c r="B1951" s="102" t="s">
        <v>56</v>
      </c>
      <c r="C1951" s="105">
        <v>70</v>
      </c>
      <c r="D1951" s="167" t="s">
        <v>1717</v>
      </c>
      <c r="E1951" s="104" t="s">
        <v>3795</v>
      </c>
      <c r="F1951" s="102" t="s">
        <v>219</v>
      </c>
      <c r="G1951" s="105">
        <v>1</v>
      </c>
      <c r="H1951" s="106"/>
      <c r="I1951" s="107">
        <v>18497.59</v>
      </c>
      <c r="J1951" s="192">
        <f t="shared" si="191"/>
        <v>20689.55</v>
      </c>
      <c r="K1951" s="193">
        <f t="shared" si="190"/>
        <v>20689.55</v>
      </c>
      <c r="L1951" s="193"/>
      <c r="M1951" s="138"/>
      <c r="N1951" s="138"/>
      <c r="O1951" s="138"/>
      <c r="S1951" s="72"/>
      <c r="T1951" s="72"/>
      <c r="U1951" s="72"/>
      <c r="V1951" s="72"/>
    </row>
    <row r="1952" spans="1:22" s="63" customFormat="1" ht="45" x14ac:dyDescent="0.25">
      <c r="A1952" s="101">
        <v>12.8</v>
      </c>
      <c r="B1952" s="102" t="s">
        <v>56</v>
      </c>
      <c r="C1952" s="105">
        <v>71</v>
      </c>
      <c r="D1952" s="167" t="s">
        <v>1718</v>
      </c>
      <c r="E1952" s="104" t="s">
        <v>3796</v>
      </c>
      <c r="F1952" s="102" t="s">
        <v>219</v>
      </c>
      <c r="G1952" s="105">
        <v>2</v>
      </c>
      <c r="H1952" s="106"/>
      <c r="I1952" s="107">
        <v>19144.39</v>
      </c>
      <c r="J1952" s="192">
        <f t="shared" si="191"/>
        <v>10706.5</v>
      </c>
      <c r="K1952" s="193">
        <f t="shared" si="190"/>
        <v>21413</v>
      </c>
      <c r="L1952" s="193"/>
      <c r="M1952" s="138"/>
      <c r="N1952" s="138"/>
      <c r="O1952" s="138"/>
      <c r="S1952" s="72"/>
      <c r="T1952" s="72"/>
      <c r="U1952" s="72"/>
      <c r="V1952" s="72"/>
    </row>
    <row r="1953" spans="1:22" s="63" customFormat="1" ht="45" x14ac:dyDescent="0.25">
      <c r="A1953" s="101">
        <v>12.81</v>
      </c>
      <c r="B1953" s="102" t="s">
        <v>56</v>
      </c>
      <c r="C1953" s="105">
        <v>72</v>
      </c>
      <c r="D1953" s="167" t="s">
        <v>1719</v>
      </c>
      <c r="E1953" s="104" t="s">
        <v>3797</v>
      </c>
      <c r="F1953" s="102" t="s">
        <v>219</v>
      </c>
      <c r="G1953" s="105">
        <v>2</v>
      </c>
      <c r="H1953" s="106"/>
      <c r="I1953" s="107">
        <v>118580.58</v>
      </c>
      <c r="J1953" s="192">
        <f t="shared" si="191"/>
        <v>66316.19</v>
      </c>
      <c r="K1953" s="193">
        <f t="shared" si="190"/>
        <v>132632.38</v>
      </c>
      <c r="L1953" s="193"/>
      <c r="M1953" s="138"/>
      <c r="N1953" s="138"/>
      <c r="O1953" s="138"/>
      <c r="S1953" s="72"/>
      <c r="T1953" s="72"/>
      <c r="U1953" s="72"/>
      <c r="V1953" s="72"/>
    </row>
    <row r="1954" spans="1:22" s="63" customFormat="1" ht="45" x14ac:dyDescent="0.25">
      <c r="A1954" s="101">
        <v>12.82</v>
      </c>
      <c r="B1954" s="102" t="s">
        <v>56</v>
      </c>
      <c r="C1954" s="105">
        <v>73</v>
      </c>
      <c r="D1954" s="167" t="s">
        <v>1720</v>
      </c>
      <c r="E1954" s="104" t="s">
        <v>3798</v>
      </c>
      <c r="F1954" s="102" t="s">
        <v>219</v>
      </c>
      <c r="G1954" s="105">
        <v>3</v>
      </c>
      <c r="H1954" s="106"/>
      <c r="I1954" s="107">
        <v>238325.39</v>
      </c>
      <c r="J1954" s="192">
        <f t="shared" si="191"/>
        <v>88855.65</v>
      </c>
      <c r="K1954" s="193">
        <f t="shared" si="190"/>
        <v>266566.95</v>
      </c>
      <c r="L1954" s="193"/>
      <c r="M1954" s="138"/>
      <c r="N1954" s="138"/>
      <c r="O1954" s="138"/>
      <c r="S1954" s="72"/>
      <c r="T1954" s="72"/>
      <c r="U1954" s="72"/>
      <c r="V1954" s="72"/>
    </row>
    <row r="1955" spans="1:22" s="63" customFormat="1" ht="45" x14ac:dyDescent="0.25">
      <c r="A1955" s="101">
        <v>12.83</v>
      </c>
      <c r="B1955" s="102" t="s">
        <v>56</v>
      </c>
      <c r="C1955" s="105">
        <v>74</v>
      </c>
      <c r="D1955" s="167" t="s">
        <v>1721</v>
      </c>
      <c r="E1955" s="104" t="s">
        <v>3799</v>
      </c>
      <c r="F1955" s="102" t="s">
        <v>219</v>
      </c>
      <c r="G1955" s="105">
        <v>1</v>
      </c>
      <c r="H1955" s="106"/>
      <c r="I1955" s="107">
        <v>99038.92</v>
      </c>
      <c r="J1955" s="192">
        <f t="shared" si="191"/>
        <v>110775.03</v>
      </c>
      <c r="K1955" s="193">
        <f t="shared" si="190"/>
        <v>110775.03</v>
      </c>
      <c r="L1955" s="193"/>
      <c r="M1955" s="138"/>
      <c r="N1955" s="138"/>
      <c r="O1955" s="138"/>
      <c r="S1955" s="72"/>
      <c r="T1955" s="72"/>
      <c r="U1955" s="72"/>
      <c r="V1955" s="72"/>
    </row>
    <row r="1956" spans="1:22" s="63" customFormat="1" ht="45" x14ac:dyDescent="0.25">
      <c r="A1956" s="101">
        <v>12.84</v>
      </c>
      <c r="B1956" s="102" t="s">
        <v>56</v>
      </c>
      <c r="C1956" s="105">
        <v>75</v>
      </c>
      <c r="D1956" s="167" t="s">
        <v>1722</v>
      </c>
      <c r="E1956" s="104" t="s">
        <v>3800</v>
      </c>
      <c r="F1956" s="102" t="s">
        <v>219</v>
      </c>
      <c r="G1956" s="105">
        <v>5</v>
      </c>
      <c r="H1956" s="106"/>
      <c r="I1956" s="107">
        <v>364962.85</v>
      </c>
      <c r="J1956" s="192">
        <f t="shared" si="191"/>
        <v>81642.19</v>
      </c>
      <c r="K1956" s="193">
        <f t="shared" si="190"/>
        <v>408210.95</v>
      </c>
      <c r="L1956" s="193"/>
      <c r="M1956" s="138"/>
      <c r="N1956" s="138"/>
      <c r="O1956" s="138"/>
      <c r="S1956" s="72"/>
      <c r="T1956" s="72"/>
      <c r="U1956" s="72"/>
      <c r="V1956" s="72"/>
    </row>
    <row r="1957" spans="1:22" s="63" customFormat="1" ht="45" x14ac:dyDescent="0.25">
      <c r="A1957" s="101">
        <v>12.85</v>
      </c>
      <c r="B1957" s="102" t="s">
        <v>56</v>
      </c>
      <c r="C1957" s="105">
        <v>76</v>
      </c>
      <c r="D1957" s="167" t="s">
        <v>1723</v>
      </c>
      <c r="E1957" s="104" t="s">
        <v>3801</v>
      </c>
      <c r="F1957" s="102" t="s">
        <v>219</v>
      </c>
      <c r="G1957" s="105">
        <v>12</v>
      </c>
      <c r="H1957" s="106"/>
      <c r="I1957" s="107">
        <v>169860.21</v>
      </c>
      <c r="J1957" s="192">
        <f t="shared" si="191"/>
        <v>15832.39</v>
      </c>
      <c r="K1957" s="193">
        <f t="shared" si="190"/>
        <v>189988.68</v>
      </c>
      <c r="L1957" s="193"/>
      <c r="M1957" s="138"/>
      <c r="N1957" s="138"/>
      <c r="O1957" s="138"/>
      <c r="S1957" s="72"/>
      <c r="T1957" s="72"/>
      <c r="U1957" s="72"/>
      <c r="V1957" s="72"/>
    </row>
    <row r="1958" spans="1:22" s="63" customFormat="1" ht="45" x14ac:dyDescent="0.25">
      <c r="A1958" s="101">
        <v>12.86</v>
      </c>
      <c r="B1958" s="102" t="s">
        <v>56</v>
      </c>
      <c r="C1958" s="105">
        <v>77</v>
      </c>
      <c r="D1958" s="167" t="s">
        <v>1724</v>
      </c>
      <c r="E1958" s="104" t="s">
        <v>3802</v>
      </c>
      <c r="F1958" s="102" t="s">
        <v>219</v>
      </c>
      <c r="G1958" s="105">
        <v>1</v>
      </c>
      <c r="H1958" s="106"/>
      <c r="I1958" s="107">
        <v>10292.9</v>
      </c>
      <c r="J1958" s="192">
        <f t="shared" si="191"/>
        <v>11512.61</v>
      </c>
      <c r="K1958" s="193">
        <f t="shared" si="190"/>
        <v>11512.61</v>
      </c>
      <c r="L1958" s="193"/>
      <c r="M1958" s="138"/>
      <c r="N1958" s="138"/>
      <c r="O1958" s="138"/>
      <c r="S1958" s="72"/>
      <c r="T1958" s="72"/>
      <c r="U1958" s="72"/>
      <c r="V1958" s="72"/>
    </row>
    <row r="1959" spans="1:22" s="63" customFormat="1" ht="45" x14ac:dyDescent="0.25">
      <c r="A1959" s="101">
        <v>12.87</v>
      </c>
      <c r="B1959" s="102" t="s">
        <v>56</v>
      </c>
      <c r="C1959" s="105">
        <v>78</v>
      </c>
      <c r="D1959" s="167" t="s">
        <v>1725</v>
      </c>
      <c r="E1959" s="104" t="s">
        <v>3803</v>
      </c>
      <c r="F1959" s="102" t="s">
        <v>219</v>
      </c>
      <c r="G1959" s="105">
        <v>3</v>
      </c>
      <c r="H1959" s="106"/>
      <c r="I1959" s="107">
        <v>24780.49</v>
      </c>
      <c r="J1959" s="192">
        <f t="shared" si="191"/>
        <v>9238.99</v>
      </c>
      <c r="K1959" s="193">
        <f t="shared" si="190"/>
        <v>27716.97</v>
      </c>
      <c r="L1959" s="193"/>
      <c r="M1959" s="138"/>
      <c r="N1959" s="138"/>
      <c r="O1959" s="138"/>
      <c r="S1959" s="72"/>
      <c r="T1959" s="72"/>
      <c r="U1959" s="72"/>
      <c r="V1959" s="72"/>
    </row>
    <row r="1960" spans="1:22" s="63" customFormat="1" ht="45" x14ac:dyDescent="0.25">
      <c r="A1960" s="101">
        <v>12.88</v>
      </c>
      <c r="B1960" s="102" t="s">
        <v>56</v>
      </c>
      <c r="C1960" s="105">
        <v>79</v>
      </c>
      <c r="D1960" s="167" t="s">
        <v>1726</v>
      </c>
      <c r="E1960" s="104" t="s">
        <v>3804</v>
      </c>
      <c r="F1960" s="102" t="s">
        <v>219</v>
      </c>
      <c r="G1960" s="105">
        <v>1</v>
      </c>
      <c r="H1960" s="106"/>
      <c r="I1960" s="107">
        <v>32449.360000000001</v>
      </c>
      <c r="J1960" s="192">
        <f t="shared" si="191"/>
        <v>36294.61</v>
      </c>
      <c r="K1960" s="193">
        <f t="shared" si="190"/>
        <v>36294.61</v>
      </c>
      <c r="L1960" s="193"/>
      <c r="M1960" s="138"/>
      <c r="N1960" s="138"/>
      <c r="O1960" s="138"/>
      <c r="S1960" s="72"/>
      <c r="T1960" s="72"/>
      <c r="U1960" s="72"/>
      <c r="V1960" s="72"/>
    </row>
    <row r="1961" spans="1:22" s="63" customFormat="1" ht="22.5" x14ac:dyDescent="0.25">
      <c r="A1961" s="87">
        <v>12.89</v>
      </c>
      <c r="B1961" s="81" t="s">
        <v>56</v>
      </c>
      <c r="C1961" s="82">
        <v>80</v>
      </c>
      <c r="D1961" s="131" t="s">
        <v>1727</v>
      </c>
      <c r="E1961" s="83" t="s">
        <v>1728</v>
      </c>
      <c r="F1961" s="81" t="s">
        <v>219</v>
      </c>
      <c r="G1961" s="82">
        <v>1</v>
      </c>
      <c r="H1961" s="85"/>
      <c r="I1961" s="86">
        <v>12220.41</v>
      </c>
      <c r="J1961" s="185">
        <f>ROUND($I1961/$G1961*$N$11,2)</f>
        <v>13914.16</v>
      </c>
      <c r="K1961" s="189">
        <f t="shared" si="190"/>
        <v>13914.16</v>
      </c>
      <c r="L1961" s="189"/>
      <c r="M1961" s="138"/>
      <c r="N1961" s="138"/>
      <c r="O1961" s="138"/>
      <c r="S1961" s="72"/>
      <c r="T1961" s="72"/>
      <c r="U1961" s="72"/>
      <c r="V1961" s="72"/>
    </row>
    <row r="1962" spans="1:22" s="63" customFormat="1" ht="45" x14ac:dyDescent="0.25">
      <c r="A1962" s="101">
        <v>12.9</v>
      </c>
      <c r="B1962" s="102" t="s">
        <v>56</v>
      </c>
      <c r="C1962" s="103">
        <v>80.099999999999994</v>
      </c>
      <c r="D1962" s="167" t="s">
        <v>1729</v>
      </c>
      <c r="E1962" s="104" t="s">
        <v>3805</v>
      </c>
      <c r="F1962" s="102" t="s">
        <v>219</v>
      </c>
      <c r="G1962" s="105">
        <v>1</v>
      </c>
      <c r="H1962" s="106"/>
      <c r="I1962" s="107">
        <v>76355.75</v>
      </c>
      <c r="J1962" s="192">
        <f>ROUND($I1962/$G1962*$N$12,2)</f>
        <v>85403.91</v>
      </c>
      <c r="K1962" s="193">
        <f t="shared" si="190"/>
        <v>85403.91</v>
      </c>
      <c r="L1962" s="193"/>
      <c r="M1962" s="138"/>
      <c r="N1962" s="138"/>
      <c r="O1962" s="138"/>
      <c r="S1962" s="72"/>
      <c r="T1962" s="72"/>
      <c r="U1962" s="72"/>
      <c r="V1962" s="72"/>
    </row>
    <row r="1963" spans="1:22" s="63" customFormat="1" ht="15" x14ac:dyDescent="0.25">
      <c r="A1963" s="87">
        <v>12.91</v>
      </c>
      <c r="B1963" s="81" t="s">
        <v>56</v>
      </c>
      <c r="C1963" s="82">
        <v>81</v>
      </c>
      <c r="D1963" s="131" t="s">
        <v>919</v>
      </c>
      <c r="E1963" s="83" t="s">
        <v>920</v>
      </c>
      <c r="F1963" s="81" t="s">
        <v>687</v>
      </c>
      <c r="G1963" s="80">
        <v>0.1</v>
      </c>
      <c r="H1963" s="85"/>
      <c r="I1963" s="86">
        <v>3215.06</v>
      </c>
      <c r="J1963" s="185">
        <f>ROUND($I1963/$G1963*$N$11,2)</f>
        <v>36606.67</v>
      </c>
      <c r="K1963" s="189">
        <f t="shared" si="190"/>
        <v>3660.67</v>
      </c>
      <c r="L1963" s="189"/>
      <c r="M1963" s="138"/>
      <c r="N1963" s="138"/>
      <c r="O1963" s="138"/>
      <c r="S1963" s="72"/>
      <c r="T1963" s="72"/>
      <c r="U1963" s="72"/>
      <c r="V1963" s="72"/>
    </row>
    <row r="1964" spans="1:22" s="63" customFormat="1" ht="22.5" x14ac:dyDescent="0.25">
      <c r="A1964" s="101">
        <v>12.92</v>
      </c>
      <c r="B1964" s="102" t="s">
        <v>56</v>
      </c>
      <c r="C1964" s="103">
        <v>81.099999999999994</v>
      </c>
      <c r="D1964" s="167" t="s">
        <v>1715</v>
      </c>
      <c r="E1964" s="104" t="s">
        <v>1716</v>
      </c>
      <c r="F1964" s="102" t="s">
        <v>219</v>
      </c>
      <c r="G1964" s="105">
        <v>1</v>
      </c>
      <c r="H1964" s="106"/>
      <c r="I1964" s="107">
        <v>9584.61</v>
      </c>
      <c r="J1964" s="192">
        <f>ROUND($I1964/$G1964*$N$12,2)</f>
        <v>10720.39</v>
      </c>
      <c r="K1964" s="193">
        <f t="shared" si="190"/>
        <v>10720.39</v>
      </c>
      <c r="L1964" s="193"/>
      <c r="M1964" s="138"/>
      <c r="N1964" s="138"/>
      <c r="O1964" s="138"/>
      <c r="S1964" s="72"/>
      <c r="T1964" s="72"/>
      <c r="U1964" s="72"/>
      <c r="V1964" s="72"/>
    </row>
    <row r="1965" spans="1:22" s="63" customFormat="1" ht="45" x14ac:dyDescent="0.25">
      <c r="A1965" s="101">
        <v>12.93</v>
      </c>
      <c r="B1965" s="102" t="s">
        <v>56</v>
      </c>
      <c r="C1965" s="105">
        <v>82</v>
      </c>
      <c r="D1965" s="167" t="s">
        <v>1730</v>
      </c>
      <c r="E1965" s="104" t="s">
        <v>3806</v>
      </c>
      <c r="F1965" s="102" t="s">
        <v>219</v>
      </c>
      <c r="G1965" s="105">
        <v>5</v>
      </c>
      <c r="H1965" s="106"/>
      <c r="I1965" s="107">
        <v>31506.89</v>
      </c>
      <c r="J1965" s="192">
        <f>ROUND($I1965/$G1965*$N$12,2)</f>
        <v>7048.09</v>
      </c>
      <c r="K1965" s="193">
        <f t="shared" si="190"/>
        <v>35240.449999999997</v>
      </c>
      <c r="L1965" s="193"/>
      <c r="M1965" s="138"/>
      <c r="N1965" s="138"/>
      <c r="O1965" s="138"/>
      <c r="S1965" s="72"/>
      <c r="T1965" s="72"/>
      <c r="U1965" s="72"/>
      <c r="V1965" s="72"/>
    </row>
    <row r="1966" spans="1:22" s="63" customFormat="1" ht="45" x14ac:dyDescent="0.25">
      <c r="A1966" s="101">
        <v>12.94</v>
      </c>
      <c r="B1966" s="102" t="s">
        <v>56</v>
      </c>
      <c r="C1966" s="105">
        <v>83</v>
      </c>
      <c r="D1966" s="167" t="s">
        <v>1731</v>
      </c>
      <c r="E1966" s="104" t="s">
        <v>3807</v>
      </c>
      <c r="F1966" s="102" t="s">
        <v>219</v>
      </c>
      <c r="G1966" s="105">
        <v>9</v>
      </c>
      <c r="H1966" s="106"/>
      <c r="I1966" s="107">
        <v>77667.740000000005</v>
      </c>
      <c r="J1966" s="192">
        <f>ROUND($I1966/$G1966*$N$12,2)</f>
        <v>9652.3700000000008</v>
      </c>
      <c r="K1966" s="193">
        <f t="shared" si="190"/>
        <v>86871.33</v>
      </c>
      <c r="L1966" s="193"/>
      <c r="M1966" s="138"/>
      <c r="N1966" s="138"/>
      <c r="O1966" s="138"/>
      <c r="S1966" s="72"/>
      <c r="T1966" s="72"/>
      <c r="U1966" s="72"/>
      <c r="V1966" s="72"/>
    </row>
    <row r="1967" spans="1:22" s="63" customFormat="1" ht="45" x14ac:dyDescent="0.25">
      <c r="A1967" s="101">
        <v>12.95</v>
      </c>
      <c r="B1967" s="102" t="s">
        <v>56</v>
      </c>
      <c r="C1967" s="105">
        <v>84</v>
      </c>
      <c r="D1967" s="167" t="s">
        <v>1732</v>
      </c>
      <c r="E1967" s="104" t="s">
        <v>3808</v>
      </c>
      <c r="F1967" s="102" t="s">
        <v>219</v>
      </c>
      <c r="G1967" s="105">
        <v>11</v>
      </c>
      <c r="H1967" s="106"/>
      <c r="I1967" s="107">
        <v>94927.27</v>
      </c>
      <c r="J1967" s="192">
        <f>ROUND($I1967/$G1967*$N$12,2)</f>
        <v>9652.3799999999992</v>
      </c>
      <c r="K1967" s="193">
        <f t="shared" si="190"/>
        <v>106176.18</v>
      </c>
      <c r="L1967" s="193"/>
      <c r="M1967" s="138"/>
      <c r="N1967" s="138"/>
      <c r="O1967" s="138"/>
      <c r="S1967" s="72"/>
      <c r="T1967" s="72"/>
      <c r="U1967" s="72"/>
      <c r="V1967" s="72"/>
    </row>
    <row r="1968" spans="1:22" s="63" customFormat="1" ht="45" x14ac:dyDescent="0.25">
      <c r="A1968" s="101">
        <v>12.96</v>
      </c>
      <c r="B1968" s="102" t="s">
        <v>56</v>
      </c>
      <c r="C1968" s="105">
        <v>85</v>
      </c>
      <c r="D1968" s="167" t="s">
        <v>1723</v>
      </c>
      <c r="E1968" s="104" t="s">
        <v>3809</v>
      </c>
      <c r="F1968" s="102" t="s">
        <v>219</v>
      </c>
      <c r="G1968" s="105">
        <v>3</v>
      </c>
      <c r="H1968" s="106"/>
      <c r="I1968" s="107">
        <v>257783.9</v>
      </c>
      <c r="J1968" s="192">
        <f>ROUND($I1968/$G1968*$N$12,2)</f>
        <v>96110.43</v>
      </c>
      <c r="K1968" s="193">
        <f t="shared" si="190"/>
        <v>288331.28999999998</v>
      </c>
      <c r="L1968" s="193"/>
      <c r="M1968" s="138"/>
      <c r="N1968" s="138"/>
      <c r="O1968" s="138"/>
      <c r="S1968" s="72"/>
      <c r="T1968" s="72"/>
      <c r="U1968" s="72"/>
      <c r="V1968" s="72"/>
    </row>
    <row r="1969" spans="1:22" s="63" customFormat="1" ht="15" x14ac:dyDescent="0.25">
      <c r="A1969" s="87">
        <v>12.97</v>
      </c>
      <c r="B1969" s="81" t="s">
        <v>56</v>
      </c>
      <c r="C1969" s="82">
        <v>86</v>
      </c>
      <c r="D1969" s="131" t="s">
        <v>1733</v>
      </c>
      <c r="E1969" s="83" t="s">
        <v>1734</v>
      </c>
      <c r="F1969" s="81" t="s">
        <v>207</v>
      </c>
      <c r="G1969" s="88">
        <v>7.1999999999999998E-3</v>
      </c>
      <c r="H1969" s="85"/>
      <c r="I1969" s="86">
        <v>965.22</v>
      </c>
      <c r="J1969" s="185">
        <f>ROUND($I1969/$G1969*$N$11,2)</f>
        <v>152638.82</v>
      </c>
      <c r="K1969" s="189">
        <f t="shared" si="190"/>
        <v>1099</v>
      </c>
      <c r="L1969" s="189"/>
      <c r="M1969" s="138"/>
      <c r="N1969" s="138"/>
      <c r="O1969" s="138"/>
      <c r="S1969" s="72"/>
      <c r="T1969" s="72"/>
      <c r="U1969" s="72"/>
      <c r="V1969" s="72"/>
    </row>
    <row r="1970" spans="1:22" s="63" customFormat="1" ht="45" x14ac:dyDescent="0.25">
      <c r="A1970" s="101">
        <v>12.98</v>
      </c>
      <c r="B1970" s="102" t="s">
        <v>56</v>
      </c>
      <c r="C1970" s="103">
        <v>86.1</v>
      </c>
      <c r="D1970" s="167" t="s">
        <v>1735</v>
      </c>
      <c r="E1970" s="104" t="s">
        <v>3810</v>
      </c>
      <c r="F1970" s="102" t="s">
        <v>219</v>
      </c>
      <c r="G1970" s="105">
        <v>2</v>
      </c>
      <c r="H1970" s="106"/>
      <c r="I1970" s="107">
        <v>11457.07</v>
      </c>
      <c r="J1970" s="192">
        <f>ROUND($I1970/$G1970*$N$12,2)</f>
        <v>6407.37</v>
      </c>
      <c r="K1970" s="193">
        <f t="shared" si="190"/>
        <v>12814.74</v>
      </c>
      <c r="L1970" s="193"/>
      <c r="M1970" s="138"/>
      <c r="N1970" s="138"/>
      <c r="O1970" s="138"/>
      <c r="S1970" s="72"/>
      <c r="T1970" s="72"/>
      <c r="U1970" s="72"/>
      <c r="V1970" s="72"/>
    </row>
    <row r="1971" spans="1:22" s="63" customFormat="1" ht="45" x14ac:dyDescent="0.25">
      <c r="A1971" s="101">
        <v>12.99</v>
      </c>
      <c r="B1971" s="102" t="s">
        <v>56</v>
      </c>
      <c r="C1971" s="105">
        <v>87</v>
      </c>
      <c r="D1971" s="167" t="s">
        <v>1736</v>
      </c>
      <c r="E1971" s="104" t="s">
        <v>3811</v>
      </c>
      <c r="F1971" s="102" t="s">
        <v>219</v>
      </c>
      <c r="G1971" s="105">
        <v>7</v>
      </c>
      <c r="H1971" s="106"/>
      <c r="I1971" s="107">
        <v>6157.24</v>
      </c>
      <c r="J1971" s="192">
        <f>ROUND($I1971/$G1971*$N$12,2)</f>
        <v>983.84</v>
      </c>
      <c r="K1971" s="193">
        <f t="shared" si="190"/>
        <v>6886.88</v>
      </c>
      <c r="L1971" s="193"/>
      <c r="M1971" s="138"/>
      <c r="N1971" s="138"/>
      <c r="O1971" s="138"/>
      <c r="S1971" s="72"/>
      <c r="T1971" s="72"/>
      <c r="U1971" s="72"/>
      <c r="V1971" s="72"/>
    </row>
    <row r="1972" spans="1:22" s="63" customFormat="1" ht="15" x14ac:dyDescent="0.25">
      <c r="A1972" s="84">
        <v>12.1</v>
      </c>
      <c r="B1972" s="81" t="s">
        <v>56</v>
      </c>
      <c r="C1972" s="82">
        <v>88</v>
      </c>
      <c r="D1972" s="131" t="s">
        <v>919</v>
      </c>
      <c r="E1972" s="83" t="s">
        <v>920</v>
      </c>
      <c r="F1972" s="81" t="s">
        <v>687</v>
      </c>
      <c r="G1972" s="80">
        <v>0.1</v>
      </c>
      <c r="H1972" s="85"/>
      <c r="I1972" s="86">
        <v>3215.06</v>
      </c>
      <c r="J1972" s="185">
        <f>ROUND($I1972/$G1972*$N$11,2)</f>
        <v>36606.67</v>
      </c>
      <c r="K1972" s="189">
        <f t="shared" ref="K1972:K2003" si="192">ROUND(G1972*J1972,2)</f>
        <v>3660.67</v>
      </c>
      <c r="L1972" s="189"/>
      <c r="M1972" s="138"/>
      <c r="N1972" s="138"/>
      <c r="O1972" s="138"/>
      <c r="S1972" s="72"/>
      <c r="T1972" s="72"/>
      <c r="U1972" s="72"/>
      <c r="V1972" s="72"/>
    </row>
    <row r="1973" spans="1:22" s="63" customFormat="1" ht="45" x14ac:dyDescent="0.25">
      <c r="A1973" s="108">
        <v>12.101000000000001</v>
      </c>
      <c r="B1973" s="102" t="s">
        <v>56</v>
      </c>
      <c r="C1973" s="103">
        <v>88.1</v>
      </c>
      <c r="D1973" s="167" t="s">
        <v>1737</v>
      </c>
      <c r="E1973" s="104" t="s">
        <v>3812</v>
      </c>
      <c r="F1973" s="102" t="s">
        <v>219</v>
      </c>
      <c r="G1973" s="105">
        <v>1</v>
      </c>
      <c r="H1973" s="106"/>
      <c r="I1973" s="107">
        <v>13828.94</v>
      </c>
      <c r="J1973" s="192">
        <f>ROUND($I1973/$G1973*$N$12,2)</f>
        <v>15467.67</v>
      </c>
      <c r="K1973" s="193">
        <f t="shared" si="192"/>
        <v>15467.67</v>
      </c>
      <c r="L1973" s="193"/>
      <c r="M1973" s="138"/>
      <c r="N1973" s="138"/>
      <c r="O1973" s="138"/>
      <c r="S1973" s="72"/>
      <c r="T1973" s="72"/>
      <c r="U1973" s="72"/>
      <c r="V1973" s="72"/>
    </row>
    <row r="1974" spans="1:22" s="63" customFormat="1" ht="15" x14ac:dyDescent="0.25">
      <c r="A1974" s="84">
        <v>12.102</v>
      </c>
      <c r="B1974" s="81" t="s">
        <v>56</v>
      </c>
      <c r="C1974" s="82">
        <v>89</v>
      </c>
      <c r="D1974" s="131" t="s">
        <v>880</v>
      </c>
      <c r="E1974" s="83" t="s">
        <v>881</v>
      </c>
      <c r="F1974" s="81" t="s">
        <v>216</v>
      </c>
      <c r="G1974" s="87">
        <v>0.02</v>
      </c>
      <c r="H1974" s="85"/>
      <c r="I1974" s="86">
        <v>1746.36</v>
      </c>
      <c r="J1974" s="185">
        <f>ROUND($I1974/$G1974*$N$11,2)</f>
        <v>99420.27</v>
      </c>
      <c r="K1974" s="189">
        <f t="shared" si="192"/>
        <v>1988.41</v>
      </c>
      <c r="L1974" s="189"/>
      <c r="M1974" s="138"/>
      <c r="N1974" s="138"/>
      <c r="O1974" s="138"/>
      <c r="S1974" s="72"/>
      <c r="T1974" s="72"/>
      <c r="U1974" s="72"/>
      <c r="V1974" s="72"/>
    </row>
    <row r="1975" spans="1:22" s="63" customFormat="1" ht="45" x14ac:dyDescent="0.25">
      <c r="A1975" s="108">
        <v>12.103</v>
      </c>
      <c r="B1975" s="102" t="s">
        <v>56</v>
      </c>
      <c r="C1975" s="103">
        <v>89.1</v>
      </c>
      <c r="D1975" s="167" t="s">
        <v>1738</v>
      </c>
      <c r="E1975" s="104" t="s">
        <v>3813</v>
      </c>
      <c r="F1975" s="102" t="s">
        <v>219</v>
      </c>
      <c r="G1975" s="105">
        <v>2</v>
      </c>
      <c r="H1975" s="106"/>
      <c r="I1975" s="107">
        <v>27497.58</v>
      </c>
      <c r="J1975" s="192">
        <f>ROUND($I1975/$G1975*$N$12,2)</f>
        <v>15378.02</v>
      </c>
      <c r="K1975" s="193">
        <f t="shared" si="192"/>
        <v>30756.04</v>
      </c>
      <c r="L1975" s="193"/>
      <c r="M1975" s="138"/>
      <c r="N1975" s="138"/>
      <c r="O1975" s="138"/>
      <c r="S1975" s="72"/>
      <c r="T1975" s="72"/>
      <c r="U1975" s="72"/>
      <c r="V1975" s="72"/>
    </row>
    <row r="1976" spans="1:22" s="63" customFormat="1" ht="15" x14ac:dyDescent="0.25">
      <c r="A1976" s="84">
        <v>12.103999999999999</v>
      </c>
      <c r="B1976" s="81" t="s">
        <v>56</v>
      </c>
      <c r="C1976" s="82">
        <v>90</v>
      </c>
      <c r="D1976" s="131" t="s">
        <v>1739</v>
      </c>
      <c r="E1976" s="83" t="s">
        <v>1740</v>
      </c>
      <c r="F1976" s="81" t="s">
        <v>687</v>
      </c>
      <c r="G1976" s="80">
        <v>0.5</v>
      </c>
      <c r="H1976" s="85"/>
      <c r="I1976" s="86">
        <v>10638.15</v>
      </c>
      <c r="J1976" s="185">
        <f>ROUND($I1976/$G1976*$N$11,2)</f>
        <v>24225.200000000001</v>
      </c>
      <c r="K1976" s="189">
        <f t="shared" si="192"/>
        <v>12112.6</v>
      </c>
      <c r="L1976" s="189"/>
      <c r="M1976" s="138"/>
      <c r="N1976" s="138"/>
      <c r="O1976" s="138"/>
      <c r="S1976" s="72"/>
      <c r="T1976" s="72"/>
      <c r="U1976" s="72"/>
      <c r="V1976" s="72"/>
    </row>
    <row r="1977" spans="1:22" s="63" customFormat="1" ht="22.5" x14ac:dyDescent="0.25">
      <c r="A1977" s="108">
        <v>12.105</v>
      </c>
      <c r="B1977" s="102" t="s">
        <v>56</v>
      </c>
      <c r="C1977" s="103">
        <v>90.1</v>
      </c>
      <c r="D1977" s="167" t="s">
        <v>1741</v>
      </c>
      <c r="E1977" s="104" t="s">
        <v>1742</v>
      </c>
      <c r="F1977" s="102" t="s">
        <v>219</v>
      </c>
      <c r="G1977" s="105">
        <v>5</v>
      </c>
      <c r="H1977" s="106"/>
      <c r="I1977" s="107">
        <v>42602.400000000001</v>
      </c>
      <c r="J1977" s="192">
        <f>ROUND($I1977/$G1977*$N$12,2)</f>
        <v>9530.16</v>
      </c>
      <c r="K1977" s="193">
        <f t="shared" si="192"/>
        <v>47650.8</v>
      </c>
      <c r="L1977" s="193"/>
      <c r="M1977" s="138"/>
      <c r="N1977" s="138"/>
      <c r="O1977" s="138"/>
      <c r="S1977" s="72"/>
      <c r="T1977" s="72"/>
      <c r="U1977" s="72"/>
      <c r="V1977" s="72"/>
    </row>
    <row r="1978" spans="1:22" s="63" customFormat="1" ht="45" x14ac:dyDescent="0.25">
      <c r="A1978" s="108">
        <v>12.106</v>
      </c>
      <c r="B1978" s="102" t="s">
        <v>56</v>
      </c>
      <c r="C1978" s="105">
        <v>91</v>
      </c>
      <c r="D1978" s="167" t="s">
        <v>1743</v>
      </c>
      <c r="E1978" s="104" t="s">
        <v>3814</v>
      </c>
      <c r="F1978" s="102" t="s">
        <v>219</v>
      </c>
      <c r="G1978" s="105">
        <v>1</v>
      </c>
      <c r="H1978" s="106"/>
      <c r="I1978" s="107">
        <v>75893.81</v>
      </c>
      <c r="J1978" s="192">
        <f>ROUND($I1978/$G1978*$N$12,2)</f>
        <v>84887.23</v>
      </c>
      <c r="K1978" s="193">
        <f t="shared" si="192"/>
        <v>84887.23</v>
      </c>
      <c r="L1978" s="193"/>
      <c r="M1978" s="138"/>
      <c r="N1978" s="138"/>
      <c r="O1978" s="138"/>
      <c r="S1978" s="72"/>
      <c r="T1978" s="72"/>
      <c r="U1978" s="72"/>
      <c r="V1978" s="72"/>
    </row>
    <row r="1979" spans="1:22" s="63" customFormat="1" ht="45" x14ac:dyDescent="0.25">
      <c r="A1979" s="108">
        <v>12.106999999999999</v>
      </c>
      <c r="B1979" s="102" t="s">
        <v>56</v>
      </c>
      <c r="C1979" s="105">
        <v>92</v>
      </c>
      <c r="D1979" s="167" t="s">
        <v>1744</v>
      </c>
      <c r="E1979" s="104" t="s">
        <v>3815</v>
      </c>
      <c r="F1979" s="102" t="s">
        <v>219</v>
      </c>
      <c r="G1979" s="105">
        <v>4</v>
      </c>
      <c r="H1979" s="106"/>
      <c r="I1979" s="107">
        <v>81160.350000000006</v>
      </c>
      <c r="J1979" s="192">
        <f>ROUND($I1979/$G1979*$N$12,2)</f>
        <v>22694.46</v>
      </c>
      <c r="K1979" s="193">
        <f t="shared" si="192"/>
        <v>90777.84</v>
      </c>
      <c r="L1979" s="193"/>
      <c r="M1979" s="138"/>
      <c r="N1979" s="138"/>
      <c r="O1979" s="138"/>
      <c r="S1979" s="72"/>
      <c r="T1979" s="72"/>
      <c r="U1979" s="72"/>
      <c r="V1979" s="72"/>
    </row>
    <row r="1980" spans="1:22" s="63" customFormat="1" ht="45" x14ac:dyDescent="0.25">
      <c r="A1980" s="108">
        <v>12.108000000000001</v>
      </c>
      <c r="B1980" s="102" t="s">
        <v>56</v>
      </c>
      <c r="C1980" s="105">
        <v>93</v>
      </c>
      <c r="D1980" s="167" t="s">
        <v>1745</v>
      </c>
      <c r="E1980" s="104" t="s">
        <v>3816</v>
      </c>
      <c r="F1980" s="102" t="s">
        <v>219</v>
      </c>
      <c r="G1980" s="105">
        <v>5</v>
      </c>
      <c r="H1980" s="106"/>
      <c r="I1980" s="107">
        <v>43980.37</v>
      </c>
      <c r="J1980" s="192">
        <f>ROUND($I1980/$G1980*$N$12,2)</f>
        <v>9838.41</v>
      </c>
      <c r="K1980" s="193">
        <f t="shared" si="192"/>
        <v>49192.05</v>
      </c>
      <c r="L1980" s="193"/>
      <c r="M1980" s="138"/>
      <c r="N1980" s="138"/>
      <c r="O1980" s="138"/>
      <c r="S1980" s="72"/>
      <c r="T1980" s="72"/>
      <c r="U1980" s="72"/>
      <c r="V1980" s="72"/>
    </row>
    <row r="1981" spans="1:22" s="63" customFormat="1" ht="15" x14ac:dyDescent="0.25">
      <c r="A1981" s="84">
        <v>12.109</v>
      </c>
      <c r="B1981" s="81" t="s">
        <v>56</v>
      </c>
      <c r="C1981" s="82">
        <v>94</v>
      </c>
      <c r="D1981" s="131" t="s">
        <v>1733</v>
      </c>
      <c r="E1981" s="83" t="s">
        <v>1734</v>
      </c>
      <c r="F1981" s="81" t="s">
        <v>207</v>
      </c>
      <c r="G1981" s="88">
        <v>5.4000000000000003E-3</v>
      </c>
      <c r="H1981" s="85"/>
      <c r="I1981" s="86">
        <v>725.25</v>
      </c>
      <c r="J1981" s="185">
        <f>ROUND($I1981/$G1981*$N$11,2)</f>
        <v>152920.31</v>
      </c>
      <c r="K1981" s="189">
        <f t="shared" si="192"/>
        <v>825.77</v>
      </c>
      <c r="L1981" s="189"/>
      <c r="M1981" s="138"/>
      <c r="N1981" s="138"/>
      <c r="O1981" s="138"/>
      <c r="S1981" s="72"/>
      <c r="T1981" s="72"/>
      <c r="U1981" s="72"/>
      <c r="V1981" s="72"/>
    </row>
    <row r="1982" spans="1:22" s="63" customFormat="1" ht="45" x14ac:dyDescent="0.25">
      <c r="A1982" s="108">
        <v>12.11</v>
      </c>
      <c r="B1982" s="102" t="s">
        <v>56</v>
      </c>
      <c r="C1982" s="103">
        <v>94.1</v>
      </c>
      <c r="D1982" s="167" t="s">
        <v>1746</v>
      </c>
      <c r="E1982" s="104" t="s">
        <v>3817</v>
      </c>
      <c r="F1982" s="102" t="s">
        <v>219</v>
      </c>
      <c r="G1982" s="105">
        <v>3</v>
      </c>
      <c r="H1982" s="106"/>
      <c r="I1982" s="107">
        <v>13859.35</v>
      </c>
      <c r="J1982" s="192">
        <f>ROUND($I1982/$G1982*$N$12,2)</f>
        <v>5167.2299999999996</v>
      </c>
      <c r="K1982" s="193">
        <f t="shared" si="192"/>
        <v>15501.69</v>
      </c>
      <c r="L1982" s="193"/>
      <c r="M1982" s="138"/>
      <c r="N1982" s="138"/>
      <c r="O1982" s="138"/>
      <c r="S1982" s="72"/>
      <c r="T1982" s="72"/>
      <c r="U1982" s="72"/>
      <c r="V1982" s="72"/>
    </row>
    <row r="1983" spans="1:22" s="63" customFormat="1" ht="15" x14ac:dyDescent="0.25">
      <c r="A1983" s="84">
        <v>12.111000000000001</v>
      </c>
      <c r="B1983" s="81" t="s">
        <v>56</v>
      </c>
      <c r="C1983" s="82">
        <v>95</v>
      </c>
      <c r="D1983" s="131" t="s">
        <v>1747</v>
      </c>
      <c r="E1983" s="83" t="s">
        <v>1748</v>
      </c>
      <c r="F1983" s="81" t="s">
        <v>219</v>
      </c>
      <c r="G1983" s="82">
        <v>1</v>
      </c>
      <c r="H1983" s="85"/>
      <c r="I1983" s="86">
        <v>9200.23</v>
      </c>
      <c r="J1983" s="185">
        <f>ROUND($I1983/$G1983*$N$11,2)</f>
        <v>10475.379999999999</v>
      </c>
      <c r="K1983" s="189">
        <f t="shared" si="192"/>
        <v>10475.379999999999</v>
      </c>
      <c r="L1983" s="189"/>
      <c r="M1983" s="138"/>
      <c r="N1983" s="138"/>
      <c r="O1983" s="138"/>
      <c r="S1983" s="72"/>
      <c r="T1983" s="72"/>
      <c r="U1983" s="72"/>
      <c r="V1983" s="72"/>
    </row>
    <row r="1984" spans="1:22" s="63" customFormat="1" ht="45" x14ac:dyDescent="0.25">
      <c r="A1984" s="108">
        <v>12.112</v>
      </c>
      <c r="B1984" s="102" t="s">
        <v>56</v>
      </c>
      <c r="C1984" s="103">
        <v>95.1</v>
      </c>
      <c r="D1984" s="167" t="s">
        <v>1749</v>
      </c>
      <c r="E1984" s="104" t="s">
        <v>3818</v>
      </c>
      <c r="F1984" s="102" t="s">
        <v>219</v>
      </c>
      <c r="G1984" s="105">
        <v>1</v>
      </c>
      <c r="H1984" s="106"/>
      <c r="I1984" s="107">
        <v>1748.11</v>
      </c>
      <c r="J1984" s="192">
        <f>ROUND($I1984/$G1984*$N$12,2)</f>
        <v>1955.26</v>
      </c>
      <c r="K1984" s="193">
        <f t="shared" si="192"/>
        <v>1955.26</v>
      </c>
      <c r="L1984" s="193"/>
      <c r="M1984" s="138"/>
      <c r="N1984" s="138"/>
      <c r="O1984" s="138"/>
      <c r="S1984" s="72"/>
      <c r="T1984" s="72"/>
      <c r="U1984" s="72"/>
      <c r="V1984" s="72"/>
    </row>
    <row r="1985" spans="1:22" s="63" customFormat="1" ht="15" x14ac:dyDescent="0.25">
      <c r="A1985" s="84">
        <v>12.113</v>
      </c>
      <c r="B1985" s="81" t="s">
        <v>56</v>
      </c>
      <c r="C1985" s="82">
        <v>96</v>
      </c>
      <c r="D1985" s="131" t="s">
        <v>919</v>
      </c>
      <c r="E1985" s="83" t="s">
        <v>920</v>
      </c>
      <c r="F1985" s="81" t="s">
        <v>687</v>
      </c>
      <c r="G1985" s="80">
        <v>0.1</v>
      </c>
      <c r="H1985" s="85"/>
      <c r="I1985" s="86">
        <v>3215.06</v>
      </c>
      <c r="J1985" s="185">
        <f>ROUND($I1985/$G1985*$N$11,2)</f>
        <v>36606.67</v>
      </c>
      <c r="K1985" s="189">
        <f t="shared" si="192"/>
        <v>3660.67</v>
      </c>
      <c r="L1985" s="189"/>
      <c r="M1985" s="138"/>
      <c r="N1985" s="138"/>
      <c r="O1985" s="138"/>
      <c r="S1985" s="72"/>
      <c r="T1985" s="72"/>
      <c r="U1985" s="72"/>
      <c r="V1985" s="72"/>
    </row>
    <row r="1986" spans="1:22" s="63" customFormat="1" ht="33.75" x14ac:dyDescent="0.25">
      <c r="A1986" s="108">
        <v>12.114000000000001</v>
      </c>
      <c r="B1986" s="102" t="s">
        <v>56</v>
      </c>
      <c r="C1986" s="103">
        <v>96.1</v>
      </c>
      <c r="D1986" s="167" t="s">
        <v>1750</v>
      </c>
      <c r="E1986" s="104" t="s">
        <v>3821</v>
      </c>
      <c r="F1986" s="102" t="s">
        <v>219</v>
      </c>
      <c r="G1986" s="105">
        <v>1</v>
      </c>
      <c r="H1986" s="106"/>
      <c r="I1986" s="107">
        <v>23597.87</v>
      </c>
      <c r="J1986" s="192">
        <f>ROUND($I1986/$G1986*$N$12,2)</f>
        <v>26394.22</v>
      </c>
      <c r="K1986" s="193">
        <f t="shared" si="192"/>
        <v>26394.22</v>
      </c>
      <c r="L1986" s="193"/>
      <c r="M1986" s="138"/>
      <c r="N1986" s="138"/>
      <c r="O1986" s="138"/>
      <c r="S1986" s="72"/>
      <c r="T1986" s="72"/>
      <c r="U1986" s="72"/>
      <c r="V1986" s="72"/>
    </row>
    <row r="1987" spans="1:22" s="63" customFormat="1" ht="45" x14ac:dyDescent="0.25">
      <c r="A1987" s="108">
        <v>12.115</v>
      </c>
      <c r="B1987" s="102" t="s">
        <v>56</v>
      </c>
      <c r="C1987" s="105">
        <v>97</v>
      </c>
      <c r="D1987" s="167" t="s">
        <v>1751</v>
      </c>
      <c r="E1987" s="104" t="s">
        <v>3819</v>
      </c>
      <c r="F1987" s="102" t="s">
        <v>219</v>
      </c>
      <c r="G1987" s="105">
        <v>1</v>
      </c>
      <c r="H1987" s="106"/>
      <c r="I1987" s="107">
        <v>13896.29</v>
      </c>
      <c r="J1987" s="192">
        <f>ROUND($I1987/$G1987*$N$12,2)</f>
        <v>15543</v>
      </c>
      <c r="K1987" s="193">
        <f t="shared" si="192"/>
        <v>15543</v>
      </c>
      <c r="L1987" s="193"/>
      <c r="M1987" s="138"/>
      <c r="N1987" s="138"/>
      <c r="O1987" s="138"/>
      <c r="S1987" s="72"/>
      <c r="T1987" s="72"/>
      <c r="U1987" s="72"/>
      <c r="V1987" s="72"/>
    </row>
    <row r="1988" spans="1:22" s="63" customFormat="1" ht="45" x14ac:dyDescent="0.25">
      <c r="A1988" s="108">
        <v>12.116</v>
      </c>
      <c r="B1988" s="102" t="s">
        <v>56</v>
      </c>
      <c r="C1988" s="105">
        <v>98</v>
      </c>
      <c r="D1988" s="167" t="s">
        <v>1752</v>
      </c>
      <c r="E1988" s="104" t="s">
        <v>3820</v>
      </c>
      <c r="F1988" s="102" t="s">
        <v>219</v>
      </c>
      <c r="G1988" s="105">
        <v>1</v>
      </c>
      <c r="H1988" s="106"/>
      <c r="I1988" s="107">
        <v>36089.75</v>
      </c>
      <c r="J1988" s="192">
        <f>ROUND($I1988/$G1988*$N$12,2)</f>
        <v>40366.39</v>
      </c>
      <c r="K1988" s="193">
        <f t="shared" si="192"/>
        <v>40366.39</v>
      </c>
      <c r="L1988" s="193"/>
      <c r="M1988" s="138"/>
      <c r="N1988" s="138"/>
      <c r="O1988" s="138"/>
      <c r="S1988" s="72"/>
      <c r="T1988" s="72"/>
      <c r="U1988" s="72"/>
      <c r="V1988" s="72"/>
    </row>
    <row r="1989" spans="1:22" s="63" customFormat="1" ht="22.5" x14ac:dyDescent="0.25">
      <c r="A1989" s="84">
        <v>12.117000000000001</v>
      </c>
      <c r="B1989" s="81" t="s">
        <v>56</v>
      </c>
      <c r="C1989" s="82">
        <v>99</v>
      </c>
      <c r="D1989" s="131" t="s">
        <v>1753</v>
      </c>
      <c r="E1989" s="83" t="s">
        <v>1754</v>
      </c>
      <c r="F1989" s="81" t="s">
        <v>219</v>
      </c>
      <c r="G1989" s="82">
        <v>1</v>
      </c>
      <c r="H1989" s="85"/>
      <c r="I1989" s="86">
        <v>28774.79</v>
      </c>
      <c r="J1989" s="185">
        <f>ROUND($I1989/$G1989*$N$11,2)</f>
        <v>32762.98</v>
      </c>
      <c r="K1989" s="189">
        <f t="shared" si="192"/>
        <v>32762.98</v>
      </c>
      <c r="L1989" s="189"/>
      <c r="M1989" s="138"/>
      <c r="N1989" s="138"/>
      <c r="O1989" s="138"/>
      <c r="S1989" s="72"/>
      <c r="T1989" s="72"/>
      <c r="U1989" s="72"/>
      <c r="V1989" s="72"/>
    </row>
    <row r="1990" spans="1:22" s="63" customFormat="1" ht="45" x14ac:dyDescent="0.25">
      <c r="A1990" s="108">
        <v>12.118</v>
      </c>
      <c r="B1990" s="102" t="s">
        <v>56</v>
      </c>
      <c r="C1990" s="103">
        <v>99.1</v>
      </c>
      <c r="D1990" s="167" t="s">
        <v>1755</v>
      </c>
      <c r="E1990" s="104" t="s">
        <v>3822</v>
      </c>
      <c r="F1990" s="102" t="s">
        <v>219</v>
      </c>
      <c r="G1990" s="105">
        <v>1</v>
      </c>
      <c r="H1990" s="106"/>
      <c r="I1990" s="107">
        <v>190150.27</v>
      </c>
      <c r="J1990" s="192">
        <f>ROUND($I1990/$G1990*$N$12,2)</f>
        <v>212683.08</v>
      </c>
      <c r="K1990" s="193">
        <f t="shared" si="192"/>
        <v>212683.08</v>
      </c>
      <c r="L1990" s="193"/>
      <c r="M1990" s="138"/>
      <c r="N1990" s="138"/>
      <c r="O1990" s="138"/>
      <c r="S1990" s="72"/>
      <c r="T1990" s="72"/>
      <c r="U1990" s="72"/>
      <c r="V1990" s="72"/>
    </row>
    <row r="1991" spans="1:22" s="63" customFormat="1" ht="22.5" x14ac:dyDescent="0.25">
      <c r="A1991" s="84">
        <v>12.119</v>
      </c>
      <c r="B1991" s="81" t="s">
        <v>56</v>
      </c>
      <c r="C1991" s="82">
        <v>100</v>
      </c>
      <c r="D1991" s="131" t="s">
        <v>1753</v>
      </c>
      <c r="E1991" s="83" t="s">
        <v>1756</v>
      </c>
      <c r="F1991" s="81" t="s">
        <v>219</v>
      </c>
      <c r="G1991" s="82">
        <v>1</v>
      </c>
      <c r="H1991" s="85"/>
      <c r="I1991" s="86">
        <v>33700.629999999997</v>
      </c>
      <c r="J1991" s="185">
        <f>ROUND($I1991/$G1991*$N$11,2)</f>
        <v>38371.54</v>
      </c>
      <c r="K1991" s="189">
        <f t="shared" si="192"/>
        <v>38371.54</v>
      </c>
      <c r="L1991" s="189"/>
      <c r="M1991" s="138"/>
      <c r="N1991" s="138"/>
      <c r="O1991" s="138"/>
      <c r="S1991" s="72"/>
      <c r="T1991" s="72"/>
      <c r="U1991" s="72"/>
      <c r="V1991" s="72"/>
    </row>
    <row r="1992" spans="1:22" s="63" customFormat="1" ht="45" x14ac:dyDescent="0.25">
      <c r="A1992" s="108">
        <v>12.12</v>
      </c>
      <c r="B1992" s="102" t="s">
        <v>56</v>
      </c>
      <c r="C1992" s="103">
        <v>100.1</v>
      </c>
      <c r="D1992" s="167" t="s">
        <v>1757</v>
      </c>
      <c r="E1992" s="104" t="s">
        <v>3823</v>
      </c>
      <c r="F1992" s="102" t="s">
        <v>219</v>
      </c>
      <c r="G1992" s="105">
        <v>1</v>
      </c>
      <c r="H1992" s="106"/>
      <c r="I1992" s="107">
        <v>167975.31</v>
      </c>
      <c r="J1992" s="192">
        <f>ROUND($I1992/$G1992*$N$12,2)</f>
        <v>187880.38</v>
      </c>
      <c r="K1992" s="193">
        <f t="shared" si="192"/>
        <v>187880.38</v>
      </c>
      <c r="L1992" s="193"/>
      <c r="M1992" s="138"/>
      <c r="N1992" s="138"/>
      <c r="O1992" s="138"/>
      <c r="S1992" s="72"/>
      <c r="T1992" s="72"/>
      <c r="U1992" s="72"/>
      <c r="V1992" s="72"/>
    </row>
    <row r="1993" spans="1:22" s="63" customFormat="1" ht="22.5" x14ac:dyDescent="0.25">
      <c r="A1993" s="84">
        <v>12.121</v>
      </c>
      <c r="B1993" s="81" t="s">
        <v>56</v>
      </c>
      <c r="C1993" s="82">
        <v>101</v>
      </c>
      <c r="D1993" s="131" t="s">
        <v>1758</v>
      </c>
      <c r="E1993" s="83" t="s">
        <v>1759</v>
      </c>
      <c r="F1993" s="81" t="s">
        <v>219</v>
      </c>
      <c r="G1993" s="82">
        <v>1</v>
      </c>
      <c r="H1993" s="85"/>
      <c r="I1993" s="86">
        <v>50456.72</v>
      </c>
      <c r="J1993" s="185">
        <f>ROUND($I1993/$G1993*$N$11,2)</f>
        <v>57450.02</v>
      </c>
      <c r="K1993" s="189">
        <f t="shared" si="192"/>
        <v>57450.02</v>
      </c>
      <c r="L1993" s="189"/>
      <c r="M1993" s="138"/>
      <c r="N1993" s="138"/>
      <c r="O1993" s="138"/>
      <c r="S1993" s="72"/>
      <c r="T1993" s="72"/>
      <c r="U1993" s="72"/>
      <c r="V1993" s="72"/>
    </row>
    <row r="1994" spans="1:22" s="63" customFormat="1" ht="45" x14ac:dyDescent="0.25">
      <c r="A1994" s="108">
        <v>12.122</v>
      </c>
      <c r="B1994" s="102" t="s">
        <v>56</v>
      </c>
      <c r="C1994" s="103">
        <v>101.1</v>
      </c>
      <c r="D1994" s="167" t="s">
        <v>1760</v>
      </c>
      <c r="E1994" s="104" t="s">
        <v>3824</v>
      </c>
      <c r="F1994" s="102" t="s">
        <v>219</v>
      </c>
      <c r="G1994" s="105">
        <v>1</v>
      </c>
      <c r="H1994" s="106"/>
      <c r="I1994" s="107">
        <v>246696.4</v>
      </c>
      <c r="J1994" s="192">
        <f>ROUND($I1994/$G1994*$N$12,2)</f>
        <v>275929.92</v>
      </c>
      <c r="K1994" s="193">
        <f t="shared" si="192"/>
        <v>275929.92</v>
      </c>
      <c r="L1994" s="193"/>
      <c r="M1994" s="138"/>
      <c r="N1994" s="138"/>
      <c r="O1994" s="138"/>
      <c r="S1994" s="72"/>
      <c r="T1994" s="72"/>
      <c r="U1994" s="72"/>
      <c r="V1994" s="72"/>
    </row>
    <row r="1995" spans="1:22" s="63" customFormat="1" ht="45" x14ac:dyDescent="0.25">
      <c r="A1995" s="108">
        <v>12.122999999999999</v>
      </c>
      <c r="B1995" s="102" t="s">
        <v>56</v>
      </c>
      <c r="C1995" s="105">
        <v>102</v>
      </c>
      <c r="D1995" s="167" t="s">
        <v>1761</v>
      </c>
      <c r="E1995" s="104" t="s">
        <v>3825</v>
      </c>
      <c r="F1995" s="102" t="s">
        <v>219</v>
      </c>
      <c r="G1995" s="105">
        <v>1</v>
      </c>
      <c r="H1995" s="106"/>
      <c r="I1995" s="107">
        <v>31525.39</v>
      </c>
      <c r="J1995" s="192">
        <f>ROUND($I1995/$G1995*$N$12,2)</f>
        <v>35261.15</v>
      </c>
      <c r="K1995" s="193">
        <f t="shared" si="192"/>
        <v>35261.15</v>
      </c>
      <c r="L1995" s="193"/>
      <c r="M1995" s="138"/>
      <c r="N1995" s="138"/>
      <c r="O1995" s="138"/>
      <c r="S1995" s="72"/>
      <c r="T1995" s="72"/>
      <c r="U1995" s="72"/>
      <c r="V1995" s="72"/>
    </row>
    <row r="1996" spans="1:22" s="63" customFormat="1" ht="15" x14ac:dyDescent="0.25">
      <c r="A1996" s="84">
        <v>12.124000000000001</v>
      </c>
      <c r="B1996" s="81" t="s">
        <v>56</v>
      </c>
      <c r="C1996" s="82">
        <v>103</v>
      </c>
      <c r="D1996" s="131" t="s">
        <v>1762</v>
      </c>
      <c r="E1996" s="83" t="s">
        <v>1763</v>
      </c>
      <c r="F1996" s="81" t="s">
        <v>219</v>
      </c>
      <c r="G1996" s="82">
        <v>1</v>
      </c>
      <c r="H1996" s="85"/>
      <c r="I1996" s="86">
        <v>82584.27</v>
      </c>
      <c r="J1996" s="185">
        <f>ROUND($I1996/$G1996*$N$11,2)</f>
        <v>94030.45</v>
      </c>
      <c r="K1996" s="189">
        <f t="shared" si="192"/>
        <v>94030.45</v>
      </c>
      <c r="L1996" s="189"/>
      <c r="M1996" s="138"/>
      <c r="N1996" s="138"/>
      <c r="O1996" s="138"/>
      <c r="S1996" s="72"/>
      <c r="T1996" s="72"/>
      <c r="U1996" s="72"/>
      <c r="V1996" s="72"/>
    </row>
    <row r="1997" spans="1:22" s="63" customFormat="1" ht="45" x14ac:dyDescent="0.25">
      <c r="A1997" s="108">
        <v>12.125</v>
      </c>
      <c r="B1997" s="102" t="s">
        <v>56</v>
      </c>
      <c r="C1997" s="103">
        <v>103.1</v>
      </c>
      <c r="D1997" s="167" t="s">
        <v>1764</v>
      </c>
      <c r="E1997" s="104" t="s">
        <v>3826</v>
      </c>
      <c r="F1997" s="102" t="s">
        <v>219</v>
      </c>
      <c r="G1997" s="105">
        <v>1</v>
      </c>
      <c r="H1997" s="106"/>
      <c r="I1997" s="107">
        <v>433335.66</v>
      </c>
      <c r="J1997" s="192">
        <f>ROUND($I1997/$G1997*$N$12,2)</f>
        <v>484685.94</v>
      </c>
      <c r="K1997" s="193">
        <f t="shared" si="192"/>
        <v>484685.94</v>
      </c>
      <c r="L1997" s="193"/>
      <c r="M1997" s="138"/>
      <c r="N1997" s="138"/>
      <c r="O1997" s="138"/>
      <c r="S1997" s="72"/>
      <c r="T1997" s="72"/>
      <c r="U1997" s="72"/>
      <c r="V1997" s="72"/>
    </row>
    <row r="1998" spans="1:22" s="63" customFormat="1" ht="45" x14ac:dyDescent="0.25">
      <c r="A1998" s="108">
        <v>12.125999999999999</v>
      </c>
      <c r="B1998" s="102" t="s">
        <v>56</v>
      </c>
      <c r="C1998" s="105">
        <v>104</v>
      </c>
      <c r="D1998" s="167" t="s">
        <v>1765</v>
      </c>
      <c r="E1998" s="104" t="s">
        <v>3829</v>
      </c>
      <c r="F1998" s="102" t="s">
        <v>219</v>
      </c>
      <c r="G1998" s="105">
        <v>18</v>
      </c>
      <c r="H1998" s="106"/>
      <c r="I1998" s="107">
        <v>22352.3</v>
      </c>
      <c r="J1998" s="192">
        <f>ROUND($I1998/$G1998*$N$12,2)</f>
        <v>1388.95</v>
      </c>
      <c r="K1998" s="193">
        <f t="shared" si="192"/>
        <v>25001.1</v>
      </c>
      <c r="L1998" s="193"/>
      <c r="M1998" s="138"/>
      <c r="N1998" s="138"/>
      <c r="O1998" s="138"/>
      <c r="S1998" s="72"/>
      <c r="T1998" s="72"/>
      <c r="U1998" s="72"/>
      <c r="V1998" s="72"/>
    </row>
    <row r="1999" spans="1:22" s="63" customFormat="1" ht="45" x14ac:dyDescent="0.25">
      <c r="A1999" s="108">
        <v>12.127000000000001</v>
      </c>
      <c r="B1999" s="102" t="s">
        <v>56</v>
      </c>
      <c r="C1999" s="105">
        <v>105</v>
      </c>
      <c r="D1999" s="167" t="s">
        <v>1766</v>
      </c>
      <c r="E1999" s="104" t="s">
        <v>3827</v>
      </c>
      <c r="F1999" s="102" t="s">
        <v>219</v>
      </c>
      <c r="G1999" s="105">
        <v>1</v>
      </c>
      <c r="H1999" s="106"/>
      <c r="I1999" s="107">
        <v>26147.97</v>
      </c>
      <c r="J1999" s="192">
        <f>ROUND($I1999/$G1999*$N$12,2)</f>
        <v>29246.5</v>
      </c>
      <c r="K1999" s="193">
        <f t="shared" si="192"/>
        <v>29246.5</v>
      </c>
      <c r="L1999" s="193"/>
      <c r="M1999" s="138"/>
      <c r="N1999" s="138"/>
      <c r="O1999" s="138"/>
      <c r="S1999" s="72"/>
      <c r="T1999" s="72"/>
      <c r="U1999" s="72"/>
      <c r="V1999" s="72"/>
    </row>
    <row r="2000" spans="1:22" s="63" customFormat="1" ht="45" x14ac:dyDescent="0.25">
      <c r="A2000" s="108">
        <v>12.128</v>
      </c>
      <c r="B2000" s="102" t="s">
        <v>56</v>
      </c>
      <c r="C2000" s="105">
        <v>106</v>
      </c>
      <c r="D2000" s="167" t="s">
        <v>1767</v>
      </c>
      <c r="E2000" s="104" t="s">
        <v>3828</v>
      </c>
      <c r="F2000" s="102" t="s">
        <v>219</v>
      </c>
      <c r="G2000" s="105">
        <v>1</v>
      </c>
      <c r="H2000" s="106"/>
      <c r="I2000" s="107">
        <v>280420.81</v>
      </c>
      <c r="J2000" s="192">
        <f>ROUND($I2000/$G2000*$N$12,2)</f>
        <v>313650.68</v>
      </c>
      <c r="K2000" s="193">
        <f t="shared" si="192"/>
        <v>313650.68</v>
      </c>
      <c r="L2000" s="193"/>
      <c r="M2000" s="138"/>
      <c r="N2000" s="138"/>
      <c r="O2000" s="138"/>
      <c r="S2000" s="72"/>
      <c r="T2000" s="72"/>
      <c r="U2000" s="72"/>
      <c r="V2000" s="72"/>
    </row>
    <row r="2001" spans="1:22" s="63" customFormat="1" ht="22.5" x14ac:dyDescent="0.25">
      <c r="A2001" s="84">
        <v>12.129</v>
      </c>
      <c r="B2001" s="81" t="s">
        <v>56</v>
      </c>
      <c r="C2001" s="82">
        <v>107</v>
      </c>
      <c r="D2001" s="131" t="s">
        <v>1753</v>
      </c>
      <c r="E2001" s="83" t="s">
        <v>1756</v>
      </c>
      <c r="F2001" s="81" t="s">
        <v>219</v>
      </c>
      <c r="G2001" s="82">
        <v>1</v>
      </c>
      <c r="H2001" s="85"/>
      <c r="I2001" s="86">
        <v>33700.629999999997</v>
      </c>
      <c r="J2001" s="185">
        <f>ROUND($I2001/$G2001*$N$11,2)</f>
        <v>38371.54</v>
      </c>
      <c r="K2001" s="189">
        <f t="shared" si="192"/>
        <v>38371.54</v>
      </c>
      <c r="L2001" s="189"/>
      <c r="M2001" s="138"/>
      <c r="N2001" s="138"/>
      <c r="O2001" s="138"/>
      <c r="S2001" s="72"/>
      <c r="T2001" s="72"/>
      <c r="U2001" s="72"/>
      <c r="V2001" s="72"/>
    </row>
    <row r="2002" spans="1:22" s="63" customFormat="1" ht="45" x14ac:dyDescent="0.25">
      <c r="A2002" s="108">
        <v>12.13</v>
      </c>
      <c r="B2002" s="102" t="s">
        <v>56</v>
      </c>
      <c r="C2002" s="103">
        <v>107.1</v>
      </c>
      <c r="D2002" s="167" t="s">
        <v>1768</v>
      </c>
      <c r="E2002" s="104" t="s">
        <v>3830</v>
      </c>
      <c r="F2002" s="102" t="s">
        <v>219</v>
      </c>
      <c r="G2002" s="105">
        <v>1</v>
      </c>
      <c r="H2002" s="106"/>
      <c r="I2002" s="107">
        <v>33404.720000000001</v>
      </c>
      <c r="J2002" s="192">
        <f>ROUND($I2002/$G2002*$N$12,2)</f>
        <v>37363.18</v>
      </c>
      <c r="K2002" s="193">
        <f t="shared" si="192"/>
        <v>37363.18</v>
      </c>
      <c r="L2002" s="193"/>
      <c r="M2002" s="138"/>
      <c r="N2002" s="138"/>
      <c r="O2002" s="138"/>
      <c r="S2002" s="72"/>
      <c r="T2002" s="72"/>
      <c r="U2002" s="72"/>
      <c r="V2002" s="72"/>
    </row>
    <row r="2003" spans="1:22" s="63" customFormat="1" ht="15" x14ac:dyDescent="0.25">
      <c r="A2003" s="84">
        <v>12.131</v>
      </c>
      <c r="B2003" s="81" t="s">
        <v>56</v>
      </c>
      <c r="C2003" s="82">
        <v>108</v>
      </c>
      <c r="D2003" s="131" t="s">
        <v>1769</v>
      </c>
      <c r="E2003" s="83" t="s">
        <v>1770</v>
      </c>
      <c r="F2003" s="81" t="s">
        <v>219</v>
      </c>
      <c r="G2003" s="82">
        <v>1</v>
      </c>
      <c r="H2003" s="85"/>
      <c r="I2003" s="86">
        <v>32665.86</v>
      </c>
      <c r="J2003" s="185">
        <f>ROUND($I2003/$G2003*$N$11,2)</f>
        <v>37193.35</v>
      </c>
      <c r="K2003" s="189">
        <f t="shared" si="192"/>
        <v>37193.35</v>
      </c>
      <c r="L2003" s="189"/>
      <c r="M2003" s="138"/>
      <c r="N2003" s="138"/>
      <c r="O2003" s="138"/>
      <c r="S2003" s="72"/>
      <c r="T2003" s="72"/>
      <c r="U2003" s="72"/>
      <c r="V2003" s="72"/>
    </row>
    <row r="2004" spans="1:22" s="63" customFormat="1" ht="45" x14ac:dyDescent="0.25">
      <c r="A2004" s="108">
        <v>12.132</v>
      </c>
      <c r="B2004" s="102" t="s">
        <v>56</v>
      </c>
      <c r="C2004" s="103">
        <v>108.1</v>
      </c>
      <c r="D2004" s="167" t="s">
        <v>1771</v>
      </c>
      <c r="E2004" s="104" t="s">
        <v>3831</v>
      </c>
      <c r="F2004" s="102" t="s">
        <v>219</v>
      </c>
      <c r="G2004" s="105">
        <v>1</v>
      </c>
      <c r="H2004" s="106"/>
      <c r="I2004" s="107">
        <v>121553.87</v>
      </c>
      <c r="J2004" s="192">
        <f t="shared" ref="J2004:J2011" si="193">ROUND($I2004/$G2004*$N$12,2)</f>
        <v>135958</v>
      </c>
      <c r="K2004" s="193">
        <f t="shared" ref="K2004:K2011" si="194">ROUND(G2004*J2004,2)</f>
        <v>135958</v>
      </c>
      <c r="L2004" s="193"/>
      <c r="M2004" s="138"/>
      <c r="N2004" s="138"/>
      <c r="O2004" s="138"/>
      <c r="S2004" s="72"/>
      <c r="T2004" s="72"/>
      <c r="U2004" s="72"/>
      <c r="V2004" s="72"/>
    </row>
    <row r="2005" spans="1:22" s="63" customFormat="1" ht="45" x14ac:dyDescent="0.25">
      <c r="A2005" s="108">
        <v>12.132999999999999</v>
      </c>
      <c r="B2005" s="102" t="s">
        <v>56</v>
      </c>
      <c r="C2005" s="105">
        <v>109</v>
      </c>
      <c r="D2005" s="167" t="s">
        <v>1772</v>
      </c>
      <c r="E2005" s="104" t="s">
        <v>3832</v>
      </c>
      <c r="F2005" s="102" t="s">
        <v>219</v>
      </c>
      <c r="G2005" s="105">
        <v>1</v>
      </c>
      <c r="H2005" s="106"/>
      <c r="I2005" s="107">
        <v>62644.27</v>
      </c>
      <c r="J2005" s="192">
        <f t="shared" si="193"/>
        <v>70067.62</v>
      </c>
      <c r="K2005" s="193">
        <f t="shared" si="194"/>
        <v>70067.62</v>
      </c>
      <c r="L2005" s="193"/>
      <c r="M2005" s="138"/>
      <c r="N2005" s="138"/>
      <c r="O2005" s="138"/>
      <c r="S2005" s="72"/>
      <c r="T2005" s="72"/>
      <c r="U2005" s="72"/>
      <c r="V2005" s="72"/>
    </row>
    <row r="2006" spans="1:22" s="63" customFormat="1" ht="22.5" x14ac:dyDescent="0.25">
      <c r="A2006" s="108">
        <v>12.134</v>
      </c>
      <c r="B2006" s="102" t="s">
        <v>56</v>
      </c>
      <c r="C2006" s="105">
        <v>110</v>
      </c>
      <c r="D2006" s="167" t="s">
        <v>1773</v>
      </c>
      <c r="E2006" s="104" t="s">
        <v>3833</v>
      </c>
      <c r="F2006" s="102" t="s">
        <v>219</v>
      </c>
      <c r="G2006" s="105">
        <v>1</v>
      </c>
      <c r="H2006" s="106"/>
      <c r="I2006" s="107">
        <v>21320.57</v>
      </c>
      <c r="J2006" s="192">
        <f t="shared" si="193"/>
        <v>23847.06</v>
      </c>
      <c r="K2006" s="193">
        <f t="shared" si="194"/>
        <v>23847.06</v>
      </c>
      <c r="L2006" s="193"/>
      <c r="M2006" s="138"/>
      <c r="N2006" s="138"/>
      <c r="O2006" s="138"/>
      <c r="S2006" s="72"/>
      <c r="T2006" s="72"/>
      <c r="U2006" s="72"/>
      <c r="V2006" s="72"/>
    </row>
    <row r="2007" spans="1:22" s="63" customFormat="1" ht="45" x14ac:dyDescent="0.25">
      <c r="A2007" s="108">
        <v>12.135</v>
      </c>
      <c r="B2007" s="102" t="s">
        <v>56</v>
      </c>
      <c r="C2007" s="105">
        <v>111</v>
      </c>
      <c r="D2007" s="167" t="s">
        <v>1774</v>
      </c>
      <c r="E2007" s="104" t="s">
        <v>3834</v>
      </c>
      <c r="F2007" s="102" t="s">
        <v>219</v>
      </c>
      <c r="G2007" s="105">
        <v>1</v>
      </c>
      <c r="H2007" s="106"/>
      <c r="I2007" s="107">
        <v>44479.25</v>
      </c>
      <c r="J2007" s="192">
        <f t="shared" si="193"/>
        <v>49750.04</v>
      </c>
      <c r="K2007" s="193">
        <f t="shared" si="194"/>
        <v>49750.04</v>
      </c>
      <c r="L2007" s="193"/>
      <c r="M2007" s="138"/>
      <c r="N2007" s="138"/>
      <c r="O2007" s="138"/>
      <c r="S2007" s="72"/>
      <c r="T2007" s="72"/>
      <c r="U2007" s="72"/>
      <c r="V2007" s="72"/>
    </row>
    <row r="2008" spans="1:22" s="63" customFormat="1" ht="22.5" x14ac:dyDescent="0.25">
      <c r="A2008" s="108">
        <v>12.135999999999999</v>
      </c>
      <c r="B2008" s="102" t="s">
        <v>56</v>
      </c>
      <c r="C2008" s="105">
        <v>112</v>
      </c>
      <c r="D2008" s="167" t="s">
        <v>1775</v>
      </c>
      <c r="E2008" s="104" t="s">
        <v>3835</v>
      </c>
      <c r="F2008" s="102" t="s">
        <v>219</v>
      </c>
      <c r="G2008" s="105">
        <v>1</v>
      </c>
      <c r="H2008" s="106"/>
      <c r="I2008" s="107">
        <v>63291.01</v>
      </c>
      <c r="J2008" s="192">
        <f t="shared" si="193"/>
        <v>70790.990000000005</v>
      </c>
      <c r="K2008" s="193">
        <f t="shared" si="194"/>
        <v>70790.990000000005</v>
      </c>
      <c r="L2008" s="193"/>
      <c r="M2008" s="138"/>
      <c r="N2008" s="138"/>
      <c r="O2008" s="138"/>
      <c r="S2008" s="72"/>
      <c r="T2008" s="72"/>
      <c r="U2008" s="72"/>
      <c r="V2008" s="72"/>
    </row>
    <row r="2009" spans="1:22" s="63" customFormat="1" ht="15" x14ac:dyDescent="0.25">
      <c r="A2009" s="108">
        <v>12.137</v>
      </c>
      <c r="B2009" s="102" t="s">
        <v>56</v>
      </c>
      <c r="C2009" s="105">
        <v>113</v>
      </c>
      <c r="D2009" s="167" t="s">
        <v>1776</v>
      </c>
      <c r="E2009" s="104" t="s">
        <v>3836</v>
      </c>
      <c r="F2009" s="102" t="s">
        <v>219</v>
      </c>
      <c r="G2009" s="105">
        <v>1</v>
      </c>
      <c r="H2009" s="106"/>
      <c r="I2009" s="107">
        <v>52252.45</v>
      </c>
      <c r="J2009" s="192">
        <f t="shared" si="193"/>
        <v>58444.37</v>
      </c>
      <c r="K2009" s="193">
        <f t="shared" si="194"/>
        <v>58444.37</v>
      </c>
      <c r="L2009" s="193"/>
      <c r="M2009" s="138"/>
      <c r="N2009" s="138"/>
      <c r="O2009" s="138"/>
      <c r="S2009" s="72"/>
      <c r="T2009" s="72"/>
      <c r="U2009" s="72"/>
      <c r="V2009" s="72"/>
    </row>
    <row r="2010" spans="1:22" s="63" customFormat="1" ht="15" x14ac:dyDescent="0.25">
      <c r="A2010" s="108">
        <v>12.138</v>
      </c>
      <c r="B2010" s="102" t="s">
        <v>56</v>
      </c>
      <c r="C2010" s="105">
        <v>114</v>
      </c>
      <c r="D2010" s="167" t="s">
        <v>1777</v>
      </c>
      <c r="E2010" s="104" t="s">
        <v>3837</v>
      </c>
      <c r="F2010" s="102" t="s">
        <v>219</v>
      </c>
      <c r="G2010" s="105">
        <v>1</v>
      </c>
      <c r="H2010" s="106"/>
      <c r="I2010" s="107">
        <v>11913.59</v>
      </c>
      <c r="J2010" s="192">
        <f t="shared" si="193"/>
        <v>13325.35</v>
      </c>
      <c r="K2010" s="193">
        <f t="shared" si="194"/>
        <v>13325.35</v>
      </c>
      <c r="L2010" s="193"/>
      <c r="M2010" s="138"/>
      <c r="N2010" s="138"/>
      <c r="O2010" s="138"/>
      <c r="S2010" s="72"/>
      <c r="T2010" s="72"/>
      <c r="U2010" s="72"/>
      <c r="V2010" s="72"/>
    </row>
    <row r="2011" spans="1:22" s="63" customFormat="1" ht="22.5" x14ac:dyDescent="0.25">
      <c r="A2011" s="108">
        <v>12.138999999999999</v>
      </c>
      <c r="B2011" s="102" t="s">
        <v>56</v>
      </c>
      <c r="C2011" s="105">
        <v>115</v>
      </c>
      <c r="D2011" s="167" t="s">
        <v>1778</v>
      </c>
      <c r="E2011" s="104" t="s">
        <v>3838</v>
      </c>
      <c r="F2011" s="102" t="s">
        <v>219</v>
      </c>
      <c r="G2011" s="105">
        <v>3</v>
      </c>
      <c r="H2011" s="106"/>
      <c r="I2011" s="107">
        <v>56409.19</v>
      </c>
      <c r="J2011" s="192">
        <f t="shared" si="193"/>
        <v>21031.23</v>
      </c>
      <c r="K2011" s="193">
        <f t="shared" si="194"/>
        <v>63093.69</v>
      </c>
      <c r="L2011" s="193"/>
      <c r="M2011" s="138"/>
      <c r="N2011" s="138"/>
      <c r="O2011" s="138"/>
      <c r="S2011" s="72"/>
      <c r="T2011" s="72"/>
      <c r="U2011" s="72"/>
      <c r="V2011" s="72"/>
    </row>
    <row r="2012" spans="1:22" s="275" customFormat="1" ht="12.75" x14ac:dyDescent="0.25">
      <c r="A2012" s="277"/>
      <c r="B2012" s="263"/>
      <c r="C2012" s="216"/>
      <c r="D2012" s="219"/>
      <c r="E2012" s="248" t="s">
        <v>3325</v>
      </c>
      <c r="F2012" s="263"/>
      <c r="G2012" s="216"/>
      <c r="H2012" s="264"/>
      <c r="I2012" s="221"/>
      <c r="J2012" s="265"/>
      <c r="K2012" s="266"/>
      <c r="L2012" s="266"/>
      <c r="M2012" s="274"/>
      <c r="N2012" s="274"/>
      <c r="O2012" s="274"/>
      <c r="S2012" s="276"/>
      <c r="T2012" s="276"/>
      <c r="U2012" s="276"/>
      <c r="V2012" s="276"/>
    </row>
    <row r="2013" spans="1:22" s="63" customFormat="1" ht="45" x14ac:dyDescent="0.25">
      <c r="A2013" s="108">
        <v>12.14</v>
      </c>
      <c r="B2013" s="102" t="s">
        <v>56</v>
      </c>
      <c r="C2013" s="105">
        <v>116</v>
      </c>
      <c r="D2013" s="167" t="s">
        <v>1779</v>
      </c>
      <c r="E2013" s="104" t="s">
        <v>3731</v>
      </c>
      <c r="F2013" s="102" t="s">
        <v>219</v>
      </c>
      <c r="G2013" s="105">
        <v>5</v>
      </c>
      <c r="H2013" s="106"/>
      <c r="I2013" s="107">
        <v>28633.4</v>
      </c>
      <c r="J2013" s="192">
        <f t="shared" ref="J2013:J2026" si="195">ROUND($I2013/$G2013*$N$12,2)</f>
        <v>6405.29</v>
      </c>
      <c r="K2013" s="193">
        <f t="shared" ref="K2013:K2044" si="196">ROUND(G2013*J2013,2)</f>
        <v>32026.45</v>
      </c>
      <c r="L2013" s="193"/>
      <c r="M2013" s="138"/>
      <c r="N2013" s="138"/>
      <c r="O2013" s="138"/>
      <c r="S2013" s="72"/>
      <c r="T2013" s="72"/>
      <c r="U2013" s="72"/>
      <c r="V2013" s="72"/>
    </row>
    <row r="2014" spans="1:22" s="63" customFormat="1" ht="45" x14ac:dyDescent="0.25">
      <c r="A2014" s="108">
        <v>12.141</v>
      </c>
      <c r="B2014" s="102" t="s">
        <v>56</v>
      </c>
      <c r="C2014" s="105">
        <v>117</v>
      </c>
      <c r="D2014" s="167" t="s">
        <v>1780</v>
      </c>
      <c r="E2014" s="104" t="s">
        <v>3732</v>
      </c>
      <c r="F2014" s="102" t="s">
        <v>219</v>
      </c>
      <c r="G2014" s="105">
        <v>5</v>
      </c>
      <c r="H2014" s="106"/>
      <c r="I2014" s="107">
        <v>61045.82</v>
      </c>
      <c r="J2014" s="192">
        <f t="shared" si="195"/>
        <v>13655.95</v>
      </c>
      <c r="K2014" s="193">
        <f t="shared" si="196"/>
        <v>68279.75</v>
      </c>
      <c r="L2014" s="193"/>
      <c r="M2014" s="138"/>
      <c r="N2014" s="138"/>
      <c r="O2014" s="138"/>
      <c r="S2014" s="72"/>
      <c r="T2014" s="72"/>
      <c r="U2014" s="72"/>
      <c r="V2014" s="72"/>
    </row>
    <row r="2015" spans="1:22" s="63" customFormat="1" ht="45" x14ac:dyDescent="0.25">
      <c r="A2015" s="108">
        <v>12.141999999999999</v>
      </c>
      <c r="B2015" s="102" t="s">
        <v>56</v>
      </c>
      <c r="C2015" s="105">
        <v>118</v>
      </c>
      <c r="D2015" s="167" t="s">
        <v>1781</v>
      </c>
      <c r="E2015" s="104" t="s">
        <v>3733</v>
      </c>
      <c r="F2015" s="102" t="s">
        <v>219</v>
      </c>
      <c r="G2015" s="105">
        <v>8</v>
      </c>
      <c r="H2015" s="106"/>
      <c r="I2015" s="107">
        <v>20356.63</v>
      </c>
      <c r="J2015" s="192">
        <f t="shared" si="195"/>
        <v>2846.11</v>
      </c>
      <c r="K2015" s="193">
        <f t="shared" si="196"/>
        <v>22768.880000000001</v>
      </c>
      <c r="L2015" s="193"/>
      <c r="M2015" s="138"/>
      <c r="N2015" s="138"/>
      <c r="O2015" s="138"/>
      <c r="S2015" s="72"/>
      <c r="T2015" s="72"/>
      <c r="U2015" s="72"/>
      <c r="V2015" s="72"/>
    </row>
    <row r="2016" spans="1:22" s="63" customFormat="1" ht="45" x14ac:dyDescent="0.25">
      <c r="A2016" s="108">
        <v>12.143000000000001</v>
      </c>
      <c r="B2016" s="102" t="s">
        <v>56</v>
      </c>
      <c r="C2016" s="105">
        <v>119</v>
      </c>
      <c r="D2016" s="167" t="s">
        <v>1782</v>
      </c>
      <c r="E2016" s="104" t="s">
        <v>3734</v>
      </c>
      <c r="F2016" s="102" t="s">
        <v>219</v>
      </c>
      <c r="G2016" s="105">
        <v>17</v>
      </c>
      <c r="H2016" s="106"/>
      <c r="I2016" s="107">
        <v>47435.89</v>
      </c>
      <c r="J2016" s="192">
        <f t="shared" si="195"/>
        <v>3121</v>
      </c>
      <c r="K2016" s="193">
        <f t="shared" si="196"/>
        <v>53057</v>
      </c>
      <c r="L2016" s="193"/>
      <c r="M2016" s="138"/>
      <c r="N2016" s="138"/>
      <c r="O2016" s="138"/>
      <c r="S2016" s="72"/>
      <c r="T2016" s="72"/>
      <c r="U2016" s="72"/>
      <c r="V2016" s="72"/>
    </row>
    <row r="2017" spans="1:22" s="63" customFormat="1" ht="45" x14ac:dyDescent="0.25">
      <c r="A2017" s="108">
        <v>12.144</v>
      </c>
      <c r="B2017" s="102" t="s">
        <v>56</v>
      </c>
      <c r="C2017" s="105">
        <v>120</v>
      </c>
      <c r="D2017" s="167" t="s">
        <v>1783</v>
      </c>
      <c r="E2017" s="104" t="s">
        <v>3839</v>
      </c>
      <c r="F2017" s="102" t="s">
        <v>219</v>
      </c>
      <c r="G2017" s="105">
        <v>39</v>
      </c>
      <c r="H2017" s="106"/>
      <c r="I2017" s="107">
        <v>120715</v>
      </c>
      <c r="J2017" s="192">
        <f t="shared" si="195"/>
        <v>3462.04</v>
      </c>
      <c r="K2017" s="193">
        <f t="shared" si="196"/>
        <v>135019.56</v>
      </c>
      <c r="L2017" s="193"/>
      <c r="M2017" s="138"/>
      <c r="N2017" s="138"/>
      <c r="O2017" s="138"/>
      <c r="S2017" s="72"/>
      <c r="T2017" s="72"/>
      <c r="U2017" s="72"/>
      <c r="V2017" s="72"/>
    </row>
    <row r="2018" spans="1:22" s="63" customFormat="1" ht="45" x14ac:dyDescent="0.25">
      <c r="A2018" s="108">
        <v>12.145</v>
      </c>
      <c r="B2018" s="102" t="s">
        <v>56</v>
      </c>
      <c r="C2018" s="105">
        <v>121</v>
      </c>
      <c r="D2018" s="167" t="s">
        <v>1784</v>
      </c>
      <c r="E2018" s="104" t="s">
        <v>3840</v>
      </c>
      <c r="F2018" s="102" t="s">
        <v>219</v>
      </c>
      <c r="G2018" s="105">
        <v>2</v>
      </c>
      <c r="H2018" s="106"/>
      <c r="I2018" s="107">
        <v>4989.3599999999997</v>
      </c>
      <c r="J2018" s="192">
        <f t="shared" si="195"/>
        <v>2790.3</v>
      </c>
      <c r="K2018" s="193">
        <f t="shared" si="196"/>
        <v>5580.6</v>
      </c>
      <c r="L2018" s="193"/>
      <c r="M2018" s="138"/>
      <c r="N2018" s="138"/>
      <c r="O2018" s="138"/>
      <c r="S2018" s="72"/>
      <c r="T2018" s="72"/>
      <c r="U2018" s="72"/>
      <c r="V2018" s="72"/>
    </row>
    <row r="2019" spans="1:22" s="63" customFormat="1" ht="45" x14ac:dyDescent="0.25">
      <c r="A2019" s="108">
        <v>12.146000000000001</v>
      </c>
      <c r="B2019" s="102" t="s">
        <v>56</v>
      </c>
      <c r="C2019" s="105">
        <v>122</v>
      </c>
      <c r="D2019" s="167" t="s">
        <v>1785</v>
      </c>
      <c r="E2019" s="104" t="s">
        <v>3735</v>
      </c>
      <c r="F2019" s="102" t="s">
        <v>219</v>
      </c>
      <c r="G2019" s="105">
        <v>8</v>
      </c>
      <c r="H2019" s="106"/>
      <c r="I2019" s="107">
        <v>10170.94</v>
      </c>
      <c r="J2019" s="192">
        <f t="shared" si="195"/>
        <v>1422.02</v>
      </c>
      <c r="K2019" s="193">
        <f t="shared" si="196"/>
        <v>11376.16</v>
      </c>
      <c r="L2019" s="193"/>
      <c r="M2019" s="138"/>
      <c r="N2019" s="138"/>
      <c r="O2019" s="138"/>
      <c r="S2019" s="72"/>
      <c r="T2019" s="72"/>
      <c r="U2019" s="72"/>
      <c r="V2019" s="72"/>
    </row>
    <row r="2020" spans="1:22" s="63" customFormat="1" ht="45" x14ac:dyDescent="0.25">
      <c r="A2020" s="108">
        <v>12.147</v>
      </c>
      <c r="B2020" s="102" t="s">
        <v>56</v>
      </c>
      <c r="C2020" s="105">
        <v>123</v>
      </c>
      <c r="D2020" s="167" t="s">
        <v>1786</v>
      </c>
      <c r="E2020" s="104" t="s">
        <v>3736</v>
      </c>
      <c r="F2020" s="102" t="s">
        <v>219</v>
      </c>
      <c r="G2020" s="105">
        <v>20</v>
      </c>
      <c r="H2020" s="106"/>
      <c r="I2020" s="107">
        <v>26979.62</v>
      </c>
      <c r="J2020" s="192">
        <f t="shared" si="195"/>
        <v>1508.84</v>
      </c>
      <c r="K2020" s="193">
        <f t="shared" si="196"/>
        <v>30176.799999999999</v>
      </c>
      <c r="L2020" s="193"/>
      <c r="M2020" s="138"/>
      <c r="N2020" s="138"/>
      <c r="O2020" s="138"/>
      <c r="S2020" s="72"/>
      <c r="T2020" s="72"/>
      <c r="U2020" s="72"/>
      <c r="V2020" s="72"/>
    </row>
    <row r="2021" spans="1:22" s="63" customFormat="1" ht="45" x14ac:dyDescent="0.25">
      <c r="A2021" s="108">
        <v>12.148</v>
      </c>
      <c r="B2021" s="102" t="s">
        <v>56</v>
      </c>
      <c r="C2021" s="105">
        <v>124</v>
      </c>
      <c r="D2021" s="167" t="s">
        <v>1787</v>
      </c>
      <c r="E2021" s="104" t="s">
        <v>3737</v>
      </c>
      <c r="F2021" s="102" t="s">
        <v>219</v>
      </c>
      <c r="G2021" s="105">
        <v>43</v>
      </c>
      <c r="H2021" s="106"/>
      <c r="I2021" s="107">
        <v>58006.17</v>
      </c>
      <c r="J2021" s="192">
        <f t="shared" si="195"/>
        <v>1508.83</v>
      </c>
      <c r="K2021" s="193">
        <f t="shared" si="196"/>
        <v>64879.69</v>
      </c>
      <c r="L2021" s="193"/>
      <c r="M2021" s="138"/>
      <c r="N2021" s="138"/>
      <c r="O2021" s="138"/>
      <c r="S2021" s="72"/>
      <c r="T2021" s="72"/>
      <c r="U2021" s="72"/>
      <c r="V2021" s="72"/>
    </row>
    <row r="2022" spans="1:22" s="63" customFormat="1" ht="45" x14ac:dyDescent="0.25">
      <c r="A2022" s="108">
        <v>12.148999999999999</v>
      </c>
      <c r="B2022" s="102" t="s">
        <v>56</v>
      </c>
      <c r="C2022" s="105">
        <v>125</v>
      </c>
      <c r="D2022" s="167" t="s">
        <v>1788</v>
      </c>
      <c r="E2022" s="104" t="s">
        <v>3841</v>
      </c>
      <c r="F2022" s="102" t="s">
        <v>219</v>
      </c>
      <c r="G2022" s="105">
        <v>94</v>
      </c>
      <c r="H2022" s="106"/>
      <c r="I2022" s="107">
        <v>161544.64000000001</v>
      </c>
      <c r="J2022" s="192">
        <f t="shared" si="195"/>
        <v>1922.21</v>
      </c>
      <c r="K2022" s="193">
        <f t="shared" si="196"/>
        <v>180687.74</v>
      </c>
      <c r="L2022" s="193"/>
      <c r="M2022" s="138"/>
      <c r="N2022" s="138"/>
      <c r="O2022" s="138"/>
      <c r="S2022" s="72"/>
      <c r="T2022" s="72"/>
      <c r="U2022" s="72"/>
      <c r="V2022" s="72"/>
    </row>
    <row r="2023" spans="1:22" s="63" customFormat="1" ht="45" x14ac:dyDescent="0.25">
      <c r="A2023" s="108">
        <v>12.15</v>
      </c>
      <c r="B2023" s="102" t="s">
        <v>56</v>
      </c>
      <c r="C2023" s="105">
        <v>126</v>
      </c>
      <c r="D2023" s="167" t="s">
        <v>1789</v>
      </c>
      <c r="E2023" s="104" t="s">
        <v>3738</v>
      </c>
      <c r="F2023" s="102" t="s">
        <v>219</v>
      </c>
      <c r="G2023" s="105">
        <v>3</v>
      </c>
      <c r="H2023" s="106"/>
      <c r="I2023" s="107">
        <v>25334.86</v>
      </c>
      <c r="J2023" s="192">
        <f t="shared" si="195"/>
        <v>9445.68</v>
      </c>
      <c r="K2023" s="193">
        <f t="shared" si="196"/>
        <v>28337.040000000001</v>
      </c>
      <c r="L2023" s="193"/>
      <c r="M2023" s="138"/>
      <c r="N2023" s="138"/>
      <c r="O2023" s="138"/>
      <c r="S2023" s="72"/>
      <c r="T2023" s="72"/>
      <c r="U2023" s="72"/>
      <c r="V2023" s="72"/>
    </row>
    <row r="2024" spans="1:22" s="63" customFormat="1" ht="45" x14ac:dyDescent="0.25">
      <c r="A2024" s="108">
        <v>12.151</v>
      </c>
      <c r="B2024" s="102" t="s">
        <v>56</v>
      </c>
      <c r="C2024" s="105">
        <v>127</v>
      </c>
      <c r="D2024" s="167" t="s">
        <v>1790</v>
      </c>
      <c r="E2024" s="104" t="s">
        <v>3740</v>
      </c>
      <c r="F2024" s="102" t="s">
        <v>219</v>
      </c>
      <c r="G2024" s="105">
        <v>6</v>
      </c>
      <c r="H2024" s="106"/>
      <c r="I2024" s="107">
        <v>48563.17</v>
      </c>
      <c r="J2024" s="192">
        <f t="shared" si="195"/>
        <v>9052.98</v>
      </c>
      <c r="K2024" s="193">
        <f t="shared" si="196"/>
        <v>54317.88</v>
      </c>
      <c r="L2024" s="193"/>
      <c r="M2024" s="138"/>
      <c r="N2024" s="138"/>
      <c r="O2024" s="138"/>
      <c r="S2024" s="72"/>
      <c r="T2024" s="72"/>
      <c r="U2024" s="72"/>
      <c r="V2024" s="72"/>
    </row>
    <row r="2025" spans="1:22" s="63" customFormat="1" ht="45" x14ac:dyDescent="0.25">
      <c r="A2025" s="108">
        <v>12.151999999999999</v>
      </c>
      <c r="B2025" s="102" t="s">
        <v>56</v>
      </c>
      <c r="C2025" s="105">
        <v>128</v>
      </c>
      <c r="D2025" s="167" t="s">
        <v>1791</v>
      </c>
      <c r="E2025" s="104" t="s">
        <v>3741</v>
      </c>
      <c r="F2025" s="102" t="s">
        <v>219</v>
      </c>
      <c r="G2025" s="105">
        <v>3</v>
      </c>
      <c r="H2025" s="106"/>
      <c r="I2025" s="107">
        <v>17573.66</v>
      </c>
      <c r="J2025" s="192">
        <f t="shared" si="195"/>
        <v>6552.05</v>
      </c>
      <c r="K2025" s="193">
        <f t="shared" si="196"/>
        <v>19656.150000000001</v>
      </c>
      <c r="L2025" s="193"/>
      <c r="M2025" s="138"/>
      <c r="N2025" s="138"/>
      <c r="O2025" s="138"/>
      <c r="S2025" s="72"/>
      <c r="T2025" s="72"/>
      <c r="U2025" s="72"/>
      <c r="V2025" s="72"/>
    </row>
    <row r="2026" spans="1:22" s="63" customFormat="1" ht="45" x14ac:dyDescent="0.25">
      <c r="A2026" s="108">
        <v>12.153</v>
      </c>
      <c r="B2026" s="102" t="s">
        <v>56</v>
      </c>
      <c r="C2026" s="105">
        <v>129</v>
      </c>
      <c r="D2026" s="167" t="s">
        <v>1792</v>
      </c>
      <c r="E2026" s="104" t="s">
        <v>3742</v>
      </c>
      <c r="F2026" s="102" t="s">
        <v>219</v>
      </c>
      <c r="G2026" s="105">
        <v>6</v>
      </c>
      <c r="H2026" s="106"/>
      <c r="I2026" s="107">
        <v>43906.38</v>
      </c>
      <c r="J2026" s="192">
        <f t="shared" si="195"/>
        <v>8184.88</v>
      </c>
      <c r="K2026" s="193">
        <f t="shared" si="196"/>
        <v>49109.279999999999</v>
      </c>
      <c r="L2026" s="193"/>
      <c r="M2026" s="138"/>
      <c r="N2026" s="138"/>
      <c r="O2026" s="138"/>
      <c r="S2026" s="72"/>
      <c r="T2026" s="72"/>
      <c r="U2026" s="72"/>
      <c r="V2026" s="72"/>
    </row>
    <row r="2027" spans="1:22" s="63" customFormat="1" ht="15" x14ac:dyDescent="0.25">
      <c r="A2027" s="84">
        <v>12.154</v>
      </c>
      <c r="B2027" s="81" t="s">
        <v>56</v>
      </c>
      <c r="C2027" s="82">
        <v>130</v>
      </c>
      <c r="D2027" s="131" t="s">
        <v>919</v>
      </c>
      <c r="E2027" s="83" t="s">
        <v>920</v>
      </c>
      <c r="F2027" s="81" t="s">
        <v>687</v>
      </c>
      <c r="G2027" s="80">
        <v>0.3</v>
      </c>
      <c r="H2027" s="85"/>
      <c r="I2027" s="86">
        <v>9646.2000000000007</v>
      </c>
      <c r="J2027" s="185">
        <f>ROUND($I2027/$G2027*$N$11,2)</f>
        <v>36610.54</v>
      </c>
      <c r="K2027" s="189">
        <f t="shared" si="196"/>
        <v>10983.16</v>
      </c>
      <c r="L2027" s="189"/>
      <c r="M2027" s="138"/>
      <c r="N2027" s="138"/>
      <c r="O2027" s="138"/>
      <c r="S2027" s="72"/>
      <c r="T2027" s="72"/>
      <c r="U2027" s="72"/>
      <c r="V2027" s="72"/>
    </row>
    <row r="2028" spans="1:22" s="63" customFormat="1" ht="45" x14ac:dyDescent="0.25">
      <c r="A2028" s="108">
        <v>12.154999999999999</v>
      </c>
      <c r="B2028" s="102" t="s">
        <v>56</v>
      </c>
      <c r="C2028" s="103">
        <v>130.1</v>
      </c>
      <c r="D2028" s="167" t="s">
        <v>1793</v>
      </c>
      <c r="E2028" s="104" t="s">
        <v>3743</v>
      </c>
      <c r="F2028" s="102" t="s">
        <v>219</v>
      </c>
      <c r="G2028" s="105">
        <v>3</v>
      </c>
      <c r="H2028" s="106"/>
      <c r="I2028" s="107">
        <v>30435.1</v>
      </c>
      <c r="J2028" s="192">
        <f>ROUND($I2028/$G2028*$N$12,2)</f>
        <v>11347.22</v>
      </c>
      <c r="K2028" s="193">
        <f t="shared" si="196"/>
        <v>34041.660000000003</v>
      </c>
      <c r="L2028" s="193"/>
      <c r="M2028" s="138"/>
      <c r="N2028" s="138"/>
      <c r="O2028" s="138"/>
      <c r="S2028" s="72"/>
      <c r="T2028" s="72"/>
      <c r="U2028" s="72"/>
      <c r="V2028" s="72"/>
    </row>
    <row r="2029" spans="1:22" s="63" customFormat="1" ht="45" x14ac:dyDescent="0.25">
      <c r="A2029" s="108">
        <v>12.156000000000001</v>
      </c>
      <c r="B2029" s="102" t="s">
        <v>56</v>
      </c>
      <c r="C2029" s="105">
        <v>131</v>
      </c>
      <c r="D2029" s="167" t="s">
        <v>1794</v>
      </c>
      <c r="E2029" s="104" t="s">
        <v>3744</v>
      </c>
      <c r="F2029" s="102" t="s">
        <v>219</v>
      </c>
      <c r="G2029" s="105">
        <v>6</v>
      </c>
      <c r="H2029" s="106"/>
      <c r="I2029" s="107">
        <v>26720.83</v>
      </c>
      <c r="J2029" s="192">
        <f>ROUND($I2029/$G2029*$N$12,2)</f>
        <v>4981.21</v>
      </c>
      <c r="K2029" s="193">
        <f t="shared" si="196"/>
        <v>29887.26</v>
      </c>
      <c r="L2029" s="193"/>
      <c r="M2029" s="138"/>
      <c r="N2029" s="138"/>
      <c r="O2029" s="138"/>
      <c r="S2029" s="72"/>
      <c r="T2029" s="72"/>
      <c r="U2029" s="72"/>
      <c r="V2029" s="72"/>
    </row>
    <row r="2030" spans="1:22" s="63" customFormat="1" ht="45" x14ac:dyDescent="0.25">
      <c r="A2030" s="108">
        <v>12.157</v>
      </c>
      <c r="B2030" s="102" t="s">
        <v>56</v>
      </c>
      <c r="C2030" s="105">
        <v>132</v>
      </c>
      <c r="D2030" s="167" t="s">
        <v>1795</v>
      </c>
      <c r="E2030" s="104" t="s">
        <v>3745</v>
      </c>
      <c r="F2030" s="102" t="s">
        <v>219</v>
      </c>
      <c r="G2030" s="105">
        <v>15</v>
      </c>
      <c r="H2030" s="106"/>
      <c r="I2030" s="107">
        <v>161045.56</v>
      </c>
      <c r="J2030" s="192">
        <f>ROUND($I2030/$G2030*$N$12,2)</f>
        <v>12008.63</v>
      </c>
      <c r="K2030" s="193">
        <f t="shared" si="196"/>
        <v>180129.45</v>
      </c>
      <c r="L2030" s="193"/>
      <c r="M2030" s="138"/>
      <c r="N2030" s="138"/>
      <c r="O2030" s="138"/>
      <c r="S2030" s="72"/>
      <c r="T2030" s="72"/>
      <c r="U2030" s="72"/>
      <c r="V2030" s="72"/>
    </row>
    <row r="2031" spans="1:22" s="63" customFormat="1" ht="45" x14ac:dyDescent="0.25">
      <c r="A2031" s="108">
        <v>12.157999999999999</v>
      </c>
      <c r="B2031" s="102" t="s">
        <v>56</v>
      </c>
      <c r="C2031" s="105">
        <v>133</v>
      </c>
      <c r="D2031" s="167" t="s">
        <v>1796</v>
      </c>
      <c r="E2031" s="104" t="s">
        <v>3746</v>
      </c>
      <c r="F2031" s="102" t="s">
        <v>219</v>
      </c>
      <c r="G2031" s="105">
        <v>3</v>
      </c>
      <c r="H2031" s="106"/>
      <c r="I2031" s="107">
        <v>22618.46</v>
      </c>
      <c r="J2031" s="192">
        <f>ROUND($I2031/$G2031*$N$12,2)</f>
        <v>8432.92</v>
      </c>
      <c r="K2031" s="193">
        <f t="shared" si="196"/>
        <v>25298.76</v>
      </c>
      <c r="L2031" s="193"/>
      <c r="M2031" s="138"/>
      <c r="N2031" s="138"/>
      <c r="O2031" s="138"/>
      <c r="S2031" s="72"/>
      <c r="T2031" s="72"/>
      <c r="U2031" s="72"/>
      <c r="V2031" s="72"/>
    </row>
    <row r="2032" spans="1:22" s="63" customFormat="1" ht="15" x14ac:dyDescent="0.25">
      <c r="A2032" s="84">
        <v>12.159000000000001</v>
      </c>
      <c r="B2032" s="81" t="s">
        <v>56</v>
      </c>
      <c r="C2032" s="82">
        <v>134</v>
      </c>
      <c r="D2032" s="131" t="s">
        <v>1034</v>
      </c>
      <c r="E2032" s="83" t="s">
        <v>1035</v>
      </c>
      <c r="F2032" s="81" t="s">
        <v>219</v>
      </c>
      <c r="G2032" s="82">
        <v>12</v>
      </c>
      <c r="H2032" s="85"/>
      <c r="I2032" s="86">
        <v>14602.76</v>
      </c>
      <c r="J2032" s="185">
        <f>ROUND($I2032/$G2032*$N$11,2)</f>
        <v>1385.56</v>
      </c>
      <c r="K2032" s="189">
        <f t="shared" si="196"/>
        <v>16626.72</v>
      </c>
      <c r="L2032" s="189"/>
      <c r="M2032" s="138"/>
      <c r="N2032" s="138"/>
      <c r="O2032" s="138"/>
      <c r="S2032" s="72"/>
      <c r="T2032" s="72"/>
      <c r="U2032" s="72"/>
      <c r="V2032" s="72"/>
    </row>
    <row r="2033" spans="1:22" s="63" customFormat="1" ht="45" x14ac:dyDescent="0.25">
      <c r="A2033" s="108">
        <v>12.16</v>
      </c>
      <c r="B2033" s="102" t="s">
        <v>56</v>
      </c>
      <c r="C2033" s="103">
        <v>134.1</v>
      </c>
      <c r="D2033" s="167" t="s">
        <v>1797</v>
      </c>
      <c r="E2033" s="104" t="s">
        <v>3747</v>
      </c>
      <c r="F2033" s="102" t="s">
        <v>219</v>
      </c>
      <c r="G2033" s="105">
        <v>12</v>
      </c>
      <c r="H2033" s="106"/>
      <c r="I2033" s="107">
        <v>587636.38</v>
      </c>
      <c r="J2033" s="192">
        <f>ROUND($I2033/$G2033*$N$12,2)</f>
        <v>54772.61</v>
      </c>
      <c r="K2033" s="193">
        <f t="shared" si="196"/>
        <v>657271.31999999995</v>
      </c>
      <c r="L2033" s="193"/>
      <c r="M2033" s="138"/>
      <c r="N2033" s="138"/>
      <c r="O2033" s="138"/>
      <c r="S2033" s="72"/>
      <c r="T2033" s="72"/>
      <c r="U2033" s="72"/>
      <c r="V2033" s="72"/>
    </row>
    <row r="2034" spans="1:22" s="63" customFormat="1" ht="45" x14ac:dyDescent="0.25">
      <c r="A2034" s="108">
        <v>12.161</v>
      </c>
      <c r="B2034" s="102" t="s">
        <v>56</v>
      </c>
      <c r="C2034" s="105">
        <v>135</v>
      </c>
      <c r="D2034" s="167" t="s">
        <v>1798</v>
      </c>
      <c r="E2034" s="104" t="s">
        <v>3748</v>
      </c>
      <c r="F2034" s="102" t="s">
        <v>219</v>
      </c>
      <c r="G2034" s="105">
        <v>15</v>
      </c>
      <c r="H2034" s="106"/>
      <c r="I2034" s="107">
        <v>27164.32</v>
      </c>
      <c r="J2034" s="192">
        <f>ROUND($I2034/$G2034*$N$12,2)</f>
        <v>2025.55</v>
      </c>
      <c r="K2034" s="193">
        <f t="shared" si="196"/>
        <v>30383.25</v>
      </c>
      <c r="L2034" s="193"/>
      <c r="M2034" s="138"/>
      <c r="N2034" s="138"/>
      <c r="O2034" s="138"/>
      <c r="S2034" s="72"/>
      <c r="T2034" s="72"/>
      <c r="U2034" s="72"/>
      <c r="V2034" s="72"/>
    </row>
    <row r="2035" spans="1:22" s="63" customFormat="1" ht="45" x14ac:dyDescent="0.25">
      <c r="A2035" s="108">
        <v>12.162000000000001</v>
      </c>
      <c r="B2035" s="102" t="s">
        <v>56</v>
      </c>
      <c r="C2035" s="105">
        <v>136</v>
      </c>
      <c r="D2035" s="167" t="s">
        <v>1799</v>
      </c>
      <c r="E2035" s="104" t="s">
        <v>3750</v>
      </c>
      <c r="F2035" s="102" t="s">
        <v>219</v>
      </c>
      <c r="G2035" s="105">
        <v>14</v>
      </c>
      <c r="H2035" s="106"/>
      <c r="I2035" s="107">
        <v>20696.57</v>
      </c>
      <c r="J2035" s="192">
        <f>ROUND($I2035/$G2035*$N$12,2)</f>
        <v>1653.51</v>
      </c>
      <c r="K2035" s="193">
        <f t="shared" si="196"/>
        <v>23149.14</v>
      </c>
      <c r="L2035" s="193"/>
      <c r="M2035" s="138"/>
      <c r="N2035" s="138"/>
      <c r="O2035" s="138"/>
      <c r="S2035" s="72"/>
      <c r="T2035" s="72"/>
      <c r="U2035" s="72"/>
      <c r="V2035" s="72"/>
    </row>
    <row r="2036" spans="1:22" s="63" customFormat="1" ht="15" x14ac:dyDescent="0.25">
      <c r="A2036" s="84">
        <v>12.163</v>
      </c>
      <c r="B2036" s="81" t="s">
        <v>56</v>
      </c>
      <c r="C2036" s="82">
        <v>137</v>
      </c>
      <c r="D2036" s="131" t="s">
        <v>1034</v>
      </c>
      <c r="E2036" s="83" t="s">
        <v>1666</v>
      </c>
      <c r="F2036" s="81" t="s">
        <v>219</v>
      </c>
      <c r="G2036" s="82">
        <v>5</v>
      </c>
      <c r="H2036" s="85"/>
      <c r="I2036" s="86">
        <v>6084.49</v>
      </c>
      <c r="J2036" s="185">
        <f>ROUND($I2036/$G2036*$N$11,2)</f>
        <v>1385.56</v>
      </c>
      <c r="K2036" s="189">
        <f t="shared" si="196"/>
        <v>6927.8</v>
      </c>
      <c r="L2036" s="189"/>
      <c r="M2036" s="138"/>
      <c r="N2036" s="138"/>
      <c r="O2036" s="138"/>
      <c r="S2036" s="72"/>
      <c r="T2036" s="72"/>
      <c r="U2036" s="72"/>
      <c r="V2036" s="72"/>
    </row>
    <row r="2037" spans="1:22" s="63" customFormat="1" ht="45" x14ac:dyDescent="0.25">
      <c r="A2037" s="108">
        <v>12.164</v>
      </c>
      <c r="B2037" s="102" t="s">
        <v>56</v>
      </c>
      <c r="C2037" s="103">
        <v>137.1</v>
      </c>
      <c r="D2037" s="167" t="s">
        <v>1800</v>
      </c>
      <c r="E2037" s="104" t="s">
        <v>3751</v>
      </c>
      <c r="F2037" s="102" t="s">
        <v>219</v>
      </c>
      <c r="G2037" s="105">
        <v>5</v>
      </c>
      <c r="H2037" s="106"/>
      <c r="I2037" s="107">
        <v>187553.97</v>
      </c>
      <c r="J2037" s="192">
        <f>ROUND($I2037/$G2037*$N$12,2)</f>
        <v>41955.82</v>
      </c>
      <c r="K2037" s="193">
        <f t="shared" si="196"/>
        <v>209779.1</v>
      </c>
      <c r="L2037" s="193"/>
      <c r="M2037" s="138"/>
      <c r="N2037" s="138"/>
      <c r="O2037" s="138"/>
      <c r="S2037" s="72"/>
      <c r="T2037" s="72"/>
      <c r="U2037" s="72"/>
      <c r="V2037" s="72"/>
    </row>
    <row r="2038" spans="1:22" s="63" customFormat="1" ht="22.5" x14ac:dyDescent="0.25">
      <c r="A2038" s="84">
        <v>12.164999999999999</v>
      </c>
      <c r="B2038" s="81" t="s">
        <v>56</v>
      </c>
      <c r="C2038" s="82">
        <v>138</v>
      </c>
      <c r="D2038" s="131" t="s">
        <v>946</v>
      </c>
      <c r="E2038" s="83" t="s">
        <v>947</v>
      </c>
      <c r="F2038" s="81" t="s">
        <v>566</v>
      </c>
      <c r="G2038" s="80">
        <v>1.8</v>
      </c>
      <c r="H2038" s="85"/>
      <c r="I2038" s="86">
        <v>5926.56</v>
      </c>
      <c r="J2038" s="185">
        <f>ROUND($I2038/$G2038*$N$11,2)</f>
        <v>3748.88</v>
      </c>
      <c r="K2038" s="189">
        <f t="shared" si="196"/>
        <v>6747.98</v>
      </c>
      <c r="L2038" s="189"/>
      <c r="M2038" s="138"/>
      <c r="N2038" s="138"/>
      <c r="O2038" s="138"/>
      <c r="S2038" s="72"/>
      <c r="T2038" s="72"/>
      <c r="U2038" s="72"/>
      <c r="V2038" s="72"/>
    </row>
    <row r="2039" spans="1:22" s="63" customFormat="1" ht="45" x14ac:dyDescent="0.25">
      <c r="A2039" s="108">
        <v>12.166</v>
      </c>
      <c r="B2039" s="102" t="s">
        <v>56</v>
      </c>
      <c r="C2039" s="103">
        <v>138.1</v>
      </c>
      <c r="D2039" s="167" t="s">
        <v>1801</v>
      </c>
      <c r="E2039" s="104" t="s">
        <v>3752</v>
      </c>
      <c r="F2039" s="102" t="s">
        <v>219</v>
      </c>
      <c r="G2039" s="105">
        <v>18</v>
      </c>
      <c r="H2039" s="106"/>
      <c r="I2039" s="107">
        <v>45569.54</v>
      </c>
      <c r="J2039" s="192">
        <f>ROUND($I2039/$G2039*$N$12,2)</f>
        <v>2831.64</v>
      </c>
      <c r="K2039" s="193">
        <f t="shared" si="196"/>
        <v>50969.52</v>
      </c>
      <c r="L2039" s="193"/>
      <c r="M2039" s="138"/>
      <c r="N2039" s="138"/>
      <c r="O2039" s="138"/>
      <c r="S2039" s="72"/>
      <c r="T2039" s="72"/>
      <c r="U2039" s="72"/>
      <c r="V2039" s="72"/>
    </row>
    <row r="2040" spans="1:22" s="63" customFormat="1" ht="15" x14ac:dyDescent="0.25">
      <c r="A2040" s="84">
        <v>12.167</v>
      </c>
      <c r="B2040" s="81" t="s">
        <v>56</v>
      </c>
      <c r="C2040" s="82">
        <v>139</v>
      </c>
      <c r="D2040" s="131" t="s">
        <v>1034</v>
      </c>
      <c r="E2040" s="83" t="s">
        <v>1802</v>
      </c>
      <c r="F2040" s="81" t="s">
        <v>219</v>
      </c>
      <c r="G2040" s="82">
        <v>5</v>
      </c>
      <c r="H2040" s="85"/>
      <c r="I2040" s="86">
        <v>6084.49</v>
      </c>
      <c r="J2040" s="185">
        <f>ROUND($I2040/$G2040*$N$11,2)</f>
        <v>1385.56</v>
      </c>
      <c r="K2040" s="189">
        <f t="shared" si="196"/>
        <v>6927.8</v>
      </c>
      <c r="L2040" s="189"/>
      <c r="M2040" s="138"/>
      <c r="N2040" s="138"/>
      <c r="O2040" s="138"/>
      <c r="S2040" s="72"/>
      <c r="T2040" s="72"/>
      <c r="U2040" s="72"/>
      <c r="V2040" s="72"/>
    </row>
    <row r="2041" spans="1:22" s="63" customFormat="1" ht="45" x14ac:dyDescent="0.25">
      <c r="A2041" s="108">
        <v>12.167999999999999</v>
      </c>
      <c r="B2041" s="102" t="s">
        <v>56</v>
      </c>
      <c r="C2041" s="103">
        <v>139.1</v>
      </c>
      <c r="D2041" s="167" t="s">
        <v>1669</v>
      </c>
      <c r="E2041" s="104" t="s">
        <v>3753</v>
      </c>
      <c r="F2041" s="102" t="s">
        <v>219</v>
      </c>
      <c r="G2041" s="105">
        <v>5</v>
      </c>
      <c r="H2041" s="106"/>
      <c r="I2041" s="107">
        <v>108093.66</v>
      </c>
      <c r="J2041" s="192">
        <f t="shared" ref="J2041:J2052" si="197">ROUND($I2041/$G2041*$N$12,2)</f>
        <v>24180.55</v>
      </c>
      <c r="K2041" s="193">
        <f t="shared" si="196"/>
        <v>120902.75</v>
      </c>
      <c r="L2041" s="193"/>
      <c r="M2041" s="138"/>
      <c r="N2041" s="138"/>
      <c r="O2041" s="138"/>
      <c r="S2041" s="72"/>
      <c r="T2041" s="72"/>
      <c r="U2041" s="72"/>
      <c r="V2041" s="72"/>
    </row>
    <row r="2042" spans="1:22" s="63" customFormat="1" ht="45" x14ac:dyDescent="0.25">
      <c r="A2042" s="108">
        <v>12.169</v>
      </c>
      <c r="B2042" s="102" t="s">
        <v>56</v>
      </c>
      <c r="C2042" s="105">
        <v>140</v>
      </c>
      <c r="D2042" s="167" t="s">
        <v>1803</v>
      </c>
      <c r="E2042" s="104" t="s">
        <v>3754</v>
      </c>
      <c r="F2042" s="102" t="s">
        <v>219</v>
      </c>
      <c r="G2042" s="105">
        <v>5</v>
      </c>
      <c r="H2042" s="106"/>
      <c r="I2042" s="107">
        <v>46188.61</v>
      </c>
      <c r="J2042" s="192">
        <f t="shared" si="197"/>
        <v>10332.39</v>
      </c>
      <c r="K2042" s="193">
        <f t="shared" si="196"/>
        <v>51661.95</v>
      </c>
      <c r="L2042" s="193"/>
      <c r="M2042" s="138"/>
      <c r="N2042" s="138"/>
      <c r="O2042" s="138"/>
      <c r="S2042" s="72"/>
      <c r="T2042" s="72"/>
      <c r="U2042" s="72"/>
      <c r="V2042" s="72"/>
    </row>
    <row r="2043" spans="1:22" s="63" customFormat="1" ht="45" x14ac:dyDescent="0.25">
      <c r="A2043" s="108">
        <v>12.17</v>
      </c>
      <c r="B2043" s="102" t="s">
        <v>56</v>
      </c>
      <c r="C2043" s="105">
        <v>141</v>
      </c>
      <c r="D2043" s="167" t="s">
        <v>1804</v>
      </c>
      <c r="E2043" s="104" t="s">
        <v>3755</v>
      </c>
      <c r="F2043" s="102" t="s">
        <v>219</v>
      </c>
      <c r="G2043" s="105">
        <v>5</v>
      </c>
      <c r="H2043" s="106"/>
      <c r="I2043" s="107">
        <v>34093.97</v>
      </c>
      <c r="J2043" s="192">
        <f t="shared" si="197"/>
        <v>7626.82</v>
      </c>
      <c r="K2043" s="193">
        <f t="shared" si="196"/>
        <v>38134.1</v>
      </c>
      <c r="L2043" s="193"/>
      <c r="M2043" s="138"/>
      <c r="N2043" s="138"/>
      <c r="O2043" s="138"/>
      <c r="S2043" s="72"/>
      <c r="T2043" s="72"/>
      <c r="U2043" s="72"/>
      <c r="V2043" s="72"/>
    </row>
    <row r="2044" spans="1:22" s="63" customFormat="1" ht="45" x14ac:dyDescent="0.25">
      <c r="A2044" s="108">
        <v>12.170999999999999</v>
      </c>
      <c r="B2044" s="102" t="s">
        <v>56</v>
      </c>
      <c r="C2044" s="105">
        <v>142</v>
      </c>
      <c r="D2044" s="167" t="s">
        <v>1805</v>
      </c>
      <c r="E2044" s="104" t="s">
        <v>3756</v>
      </c>
      <c r="F2044" s="102" t="s">
        <v>219</v>
      </c>
      <c r="G2044" s="105">
        <v>4</v>
      </c>
      <c r="H2044" s="106"/>
      <c r="I2044" s="107">
        <v>48784.92</v>
      </c>
      <c r="J2044" s="192">
        <f t="shared" si="197"/>
        <v>13641.48</v>
      </c>
      <c r="K2044" s="193">
        <f t="shared" si="196"/>
        <v>54565.919999999998</v>
      </c>
      <c r="L2044" s="193"/>
      <c r="M2044" s="138"/>
      <c r="N2044" s="138"/>
      <c r="O2044" s="138"/>
      <c r="S2044" s="72"/>
      <c r="T2044" s="72"/>
      <c r="U2044" s="72"/>
      <c r="V2044" s="72"/>
    </row>
    <row r="2045" spans="1:22" s="63" customFormat="1" ht="45" x14ac:dyDescent="0.25">
      <c r="A2045" s="108">
        <v>12.172000000000001</v>
      </c>
      <c r="B2045" s="102" t="s">
        <v>56</v>
      </c>
      <c r="C2045" s="105">
        <v>143</v>
      </c>
      <c r="D2045" s="167" t="s">
        <v>1806</v>
      </c>
      <c r="E2045" s="104" t="s">
        <v>3757</v>
      </c>
      <c r="F2045" s="102" t="s">
        <v>219</v>
      </c>
      <c r="G2045" s="105">
        <v>5</v>
      </c>
      <c r="H2045" s="106"/>
      <c r="I2045" s="107">
        <v>60981.11</v>
      </c>
      <c r="J2045" s="192">
        <f t="shared" si="197"/>
        <v>13641.47</v>
      </c>
      <c r="K2045" s="193">
        <f t="shared" ref="K2045:K2064" si="198">ROUND(G2045*J2045,2)</f>
        <v>68207.350000000006</v>
      </c>
      <c r="L2045" s="193"/>
      <c r="M2045" s="138"/>
      <c r="N2045" s="138"/>
      <c r="O2045" s="138"/>
      <c r="S2045" s="72"/>
      <c r="T2045" s="72"/>
      <c r="U2045" s="72"/>
      <c r="V2045" s="72"/>
    </row>
    <row r="2046" spans="1:22" s="63" customFormat="1" ht="45" x14ac:dyDescent="0.25">
      <c r="A2046" s="108">
        <v>12.173</v>
      </c>
      <c r="B2046" s="102" t="s">
        <v>56</v>
      </c>
      <c r="C2046" s="105">
        <v>144</v>
      </c>
      <c r="D2046" s="167" t="s">
        <v>1807</v>
      </c>
      <c r="E2046" s="104" t="s">
        <v>3758</v>
      </c>
      <c r="F2046" s="102" t="s">
        <v>219</v>
      </c>
      <c r="G2046" s="105">
        <v>3</v>
      </c>
      <c r="H2046" s="106"/>
      <c r="I2046" s="107">
        <v>59489.88</v>
      </c>
      <c r="J2046" s="192">
        <f t="shared" si="197"/>
        <v>22179.81</v>
      </c>
      <c r="K2046" s="193">
        <f t="shared" si="198"/>
        <v>66539.429999999993</v>
      </c>
      <c r="L2046" s="193"/>
      <c r="M2046" s="138"/>
      <c r="N2046" s="138"/>
      <c r="O2046" s="138"/>
      <c r="S2046" s="72"/>
      <c r="T2046" s="72"/>
      <c r="U2046" s="72"/>
      <c r="V2046" s="72"/>
    </row>
    <row r="2047" spans="1:22" s="63" customFormat="1" ht="45" x14ac:dyDescent="0.25">
      <c r="A2047" s="108">
        <v>12.173999999999999</v>
      </c>
      <c r="B2047" s="102" t="s">
        <v>56</v>
      </c>
      <c r="C2047" s="105">
        <v>145</v>
      </c>
      <c r="D2047" s="167" t="s">
        <v>1808</v>
      </c>
      <c r="E2047" s="104" t="s">
        <v>3749</v>
      </c>
      <c r="F2047" s="102" t="s">
        <v>219</v>
      </c>
      <c r="G2047" s="105">
        <v>3</v>
      </c>
      <c r="H2047" s="106"/>
      <c r="I2047" s="107">
        <v>35746.050000000003</v>
      </c>
      <c r="J2047" s="192">
        <f t="shared" si="197"/>
        <v>13327.32</v>
      </c>
      <c r="K2047" s="193">
        <f t="shared" si="198"/>
        <v>39981.96</v>
      </c>
      <c r="L2047" s="193"/>
      <c r="M2047" s="138"/>
      <c r="N2047" s="138"/>
      <c r="O2047" s="138"/>
      <c r="S2047" s="72"/>
      <c r="T2047" s="72"/>
      <c r="U2047" s="72"/>
      <c r="V2047" s="72"/>
    </row>
    <row r="2048" spans="1:22" s="63" customFormat="1" ht="45" x14ac:dyDescent="0.25">
      <c r="A2048" s="108">
        <v>12.175000000000001</v>
      </c>
      <c r="B2048" s="102" t="s">
        <v>56</v>
      </c>
      <c r="C2048" s="105">
        <v>146</v>
      </c>
      <c r="D2048" s="167" t="s">
        <v>1809</v>
      </c>
      <c r="E2048" s="104" t="s">
        <v>3842</v>
      </c>
      <c r="F2048" s="102" t="s">
        <v>219</v>
      </c>
      <c r="G2048" s="105">
        <v>5</v>
      </c>
      <c r="H2048" s="106"/>
      <c r="I2048" s="107">
        <v>58532.62</v>
      </c>
      <c r="J2048" s="192">
        <f t="shared" si="197"/>
        <v>13093.75</v>
      </c>
      <c r="K2048" s="193">
        <f t="shared" si="198"/>
        <v>65468.75</v>
      </c>
      <c r="L2048" s="193"/>
      <c r="M2048" s="138"/>
      <c r="N2048" s="138"/>
      <c r="O2048" s="138"/>
      <c r="S2048" s="72"/>
      <c r="T2048" s="72"/>
      <c r="U2048" s="72"/>
      <c r="V2048" s="72"/>
    </row>
    <row r="2049" spans="1:22" s="63" customFormat="1" ht="45" x14ac:dyDescent="0.25">
      <c r="A2049" s="108">
        <v>12.176</v>
      </c>
      <c r="B2049" s="102" t="s">
        <v>56</v>
      </c>
      <c r="C2049" s="105">
        <v>147</v>
      </c>
      <c r="D2049" s="167" t="s">
        <v>1810</v>
      </c>
      <c r="E2049" s="104" t="s">
        <v>3843</v>
      </c>
      <c r="F2049" s="102" t="s">
        <v>219</v>
      </c>
      <c r="G2049" s="105">
        <v>8</v>
      </c>
      <c r="H2049" s="106"/>
      <c r="I2049" s="107">
        <v>38377.440000000002</v>
      </c>
      <c r="J2049" s="192">
        <f t="shared" si="197"/>
        <v>5365.65</v>
      </c>
      <c r="K2049" s="193">
        <f t="shared" si="198"/>
        <v>42925.2</v>
      </c>
      <c r="L2049" s="193"/>
      <c r="M2049" s="138"/>
      <c r="N2049" s="138"/>
      <c r="O2049" s="138"/>
      <c r="S2049" s="72"/>
      <c r="T2049" s="72"/>
      <c r="U2049" s="72"/>
      <c r="V2049" s="72"/>
    </row>
    <row r="2050" spans="1:22" s="63" customFormat="1" ht="45" x14ac:dyDescent="0.25">
      <c r="A2050" s="108">
        <v>12.177</v>
      </c>
      <c r="B2050" s="102" t="s">
        <v>56</v>
      </c>
      <c r="C2050" s="105">
        <v>148</v>
      </c>
      <c r="D2050" s="167" t="s">
        <v>1811</v>
      </c>
      <c r="E2050" s="104" t="s">
        <v>3746</v>
      </c>
      <c r="F2050" s="102" t="s">
        <v>219</v>
      </c>
      <c r="G2050" s="105">
        <v>6</v>
      </c>
      <c r="H2050" s="106"/>
      <c r="I2050" s="107">
        <v>45236.92</v>
      </c>
      <c r="J2050" s="192">
        <f t="shared" si="197"/>
        <v>8432.92</v>
      </c>
      <c r="K2050" s="193">
        <f t="shared" si="198"/>
        <v>50597.52</v>
      </c>
      <c r="L2050" s="193"/>
      <c r="M2050" s="138"/>
      <c r="N2050" s="138"/>
      <c r="O2050" s="138"/>
      <c r="S2050" s="72"/>
      <c r="T2050" s="72"/>
      <c r="U2050" s="72"/>
      <c r="V2050" s="72"/>
    </row>
    <row r="2051" spans="1:22" s="63" customFormat="1" ht="45" x14ac:dyDescent="0.25">
      <c r="A2051" s="108">
        <v>12.178000000000001</v>
      </c>
      <c r="B2051" s="102" t="s">
        <v>56</v>
      </c>
      <c r="C2051" s="105">
        <v>149</v>
      </c>
      <c r="D2051" s="167" t="s">
        <v>1812</v>
      </c>
      <c r="E2051" s="104" t="s">
        <v>3765</v>
      </c>
      <c r="F2051" s="102" t="s">
        <v>219</v>
      </c>
      <c r="G2051" s="105">
        <v>3</v>
      </c>
      <c r="H2051" s="106"/>
      <c r="I2051" s="107">
        <v>19314.36</v>
      </c>
      <c r="J2051" s="192">
        <f t="shared" si="197"/>
        <v>7201.04</v>
      </c>
      <c r="K2051" s="193">
        <f t="shared" si="198"/>
        <v>21603.119999999999</v>
      </c>
      <c r="L2051" s="193"/>
      <c r="M2051" s="138"/>
      <c r="N2051" s="138"/>
      <c r="O2051" s="138"/>
      <c r="S2051" s="72"/>
      <c r="T2051" s="72"/>
      <c r="U2051" s="72"/>
      <c r="V2051" s="72"/>
    </row>
    <row r="2052" spans="1:22" s="63" customFormat="1" ht="45" x14ac:dyDescent="0.25">
      <c r="A2052" s="108">
        <v>12.179</v>
      </c>
      <c r="B2052" s="102" t="s">
        <v>56</v>
      </c>
      <c r="C2052" s="105">
        <v>150</v>
      </c>
      <c r="D2052" s="167" t="s">
        <v>1813</v>
      </c>
      <c r="E2052" s="104" t="s">
        <v>3766</v>
      </c>
      <c r="F2052" s="102" t="s">
        <v>219</v>
      </c>
      <c r="G2052" s="105">
        <v>6</v>
      </c>
      <c r="H2052" s="106"/>
      <c r="I2052" s="107">
        <v>30268.83</v>
      </c>
      <c r="J2052" s="192">
        <f t="shared" si="197"/>
        <v>5642.61</v>
      </c>
      <c r="K2052" s="193">
        <f t="shared" si="198"/>
        <v>33855.660000000003</v>
      </c>
      <c r="L2052" s="193"/>
      <c r="M2052" s="138"/>
      <c r="N2052" s="138"/>
      <c r="O2052" s="138"/>
      <c r="S2052" s="72"/>
      <c r="T2052" s="72"/>
      <c r="U2052" s="72"/>
      <c r="V2052" s="72"/>
    </row>
    <row r="2053" spans="1:22" s="63" customFormat="1" ht="15" x14ac:dyDescent="0.25">
      <c r="A2053" s="84">
        <v>12.18</v>
      </c>
      <c r="B2053" s="81" t="s">
        <v>56</v>
      </c>
      <c r="C2053" s="82">
        <v>151</v>
      </c>
      <c r="D2053" s="131" t="s">
        <v>1034</v>
      </c>
      <c r="E2053" s="83" t="s">
        <v>1666</v>
      </c>
      <c r="F2053" s="81" t="s">
        <v>219</v>
      </c>
      <c r="G2053" s="82">
        <v>1</v>
      </c>
      <c r="H2053" s="85"/>
      <c r="I2053" s="86">
        <v>1216.9100000000001</v>
      </c>
      <c r="J2053" s="185">
        <f>ROUND($I2053/$G2053*$N$11,2)</f>
        <v>1385.57</v>
      </c>
      <c r="K2053" s="189">
        <f t="shared" si="198"/>
        <v>1385.57</v>
      </c>
      <c r="L2053" s="189"/>
      <c r="M2053" s="138"/>
      <c r="N2053" s="138"/>
      <c r="O2053" s="138"/>
      <c r="S2053" s="72"/>
      <c r="T2053" s="72"/>
      <c r="U2053" s="72"/>
      <c r="V2053" s="72"/>
    </row>
    <row r="2054" spans="1:22" s="63" customFormat="1" ht="45" x14ac:dyDescent="0.25">
      <c r="A2054" s="108">
        <v>12.180999999999999</v>
      </c>
      <c r="B2054" s="102" t="s">
        <v>56</v>
      </c>
      <c r="C2054" s="103">
        <v>151.1</v>
      </c>
      <c r="D2054" s="167" t="s">
        <v>1814</v>
      </c>
      <c r="E2054" s="104" t="s">
        <v>3844</v>
      </c>
      <c r="F2054" s="102" t="s">
        <v>219</v>
      </c>
      <c r="G2054" s="105">
        <v>1</v>
      </c>
      <c r="H2054" s="106"/>
      <c r="I2054" s="107">
        <v>40097.89</v>
      </c>
      <c r="J2054" s="192">
        <f t="shared" ref="J2054:J2064" si="199">ROUND($I2054/$G2054*$N$12,2)</f>
        <v>44849.49</v>
      </c>
      <c r="K2054" s="193">
        <f t="shared" si="198"/>
        <v>44849.49</v>
      </c>
      <c r="L2054" s="193"/>
      <c r="M2054" s="138"/>
      <c r="N2054" s="138"/>
      <c r="O2054" s="138"/>
      <c r="S2054" s="72"/>
      <c r="T2054" s="72"/>
      <c r="U2054" s="72"/>
      <c r="V2054" s="72"/>
    </row>
    <row r="2055" spans="1:22" s="63" customFormat="1" ht="45" x14ac:dyDescent="0.25">
      <c r="A2055" s="108">
        <v>12.182</v>
      </c>
      <c r="B2055" s="102" t="s">
        <v>56</v>
      </c>
      <c r="C2055" s="105">
        <v>152</v>
      </c>
      <c r="D2055" s="167" t="s">
        <v>1815</v>
      </c>
      <c r="E2055" s="104" t="s">
        <v>3845</v>
      </c>
      <c r="F2055" s="102" t="s">
        <v>219</v>
      </c>
      <c r="G2055" s="105">
        <v>2</v>
      </c>
      <c r="H2055" s="106"/>
      <c r="I2055" s="107">
        <v>13637.6</v>
      </c>
      <c r="J2055" s="192">
        <f t="shared" si="199"/>
        <v>7626.83</v>
      </c>
      <c r="K2055" s="193">
        <f t="shared" si="198"/>
        <v>15253.66</v>
      </c>
      <c r="L2055" s="193"/>
      <c r="M2055" s="138"/>
      <c r="N2055" s="138"/>
      <c r="O2055" s="138"/>
      <c r="S2055" s="72"/>
      <c r="T2055" s="72"/>
      <c r="U2055" s="72"/>
      <c r="V2055" s="72"/>
    </row>
    <row r="2056" spans="1:22" s="63" customFormat="1" ht="45" x14ac:dyDescent="0.25">
      <c r="A2056" s="108">
        <v>12.183</v>
      </c>
      <c r="B2056" s="102" t="s">
        <v>56</v>
      </c>
      <c r="C2056" s="105">
        <v>153</v>
      </c>
      <c r="D2056" s="167" t="s">
        <v>1816</v>
      </c>
      <c r="E2056" s="104" t="s">
        <v>3768</v>
      </c>
      <c r="F2056" s="102" t="s">
        <v>219</v>
      </c>
      <c r="G2056" s="105">
        <v>3</v>
      </c>
      <c r="H2056" s="106"/>
      <c r="I2056" s="107">
        <v>11214.97</v>
      </c>
      <c r="J2056" s="192">
        <f t="shared" si="199"/>
        <v>4181.3100000000004</v>
      </c>
      <c r="K2056" s="193">
        <f t="shared" si="198"/>
        <v>12543.93</v>
      </c>
      <c r="L2056" s="193"/>
      <c r="M2056" s="138"/>
      <c r="N2056" s="138"/>
      <c r="O2056" s="138"/>
      <c r="S2056" s="72"/>
      <c r="T2056" s="72"/>
      <c r="U2056" s="72"/>
      <c r="V2056" s="72"/>
    </row>
    <row r="2057" spans="1:22" s="63" customFormat="1" ht="45" x14ac:dyDescent="0.25">
      <c r="A2057" s="108">
        <v>12.183999999999999</v>
      </c>
      <c r="B2057" s="102" t="s">
        <v>56</v>
      </c>
      <c r="C2057" s="105">
        <v>154</v>
      </c>
      <c r="D2057" s="167" t="s">
        <v>1817</v>
      </c>
      <c r="E2057" s="104" t="s">
        <v>3769</v>
      </c>
      <c r="F2057" s="102" t="s">
        <v>219</v>
      </c>
      <c r="G2057" s="105">
        <v>75</v>
      </c>
      <c r="H2057" s="106"/>
      <c r="I2057" s="107">
        <v>286888.46999999997</v>
      </c>
      <c r="J2057" s="192">
        <f t="shared" si="199"/>
        <v>4278.46</v>
      </c>
      <c r="K2057" s="193">
        <f t="shared" si="198"/>
        <v>320884.5</v>
      </c>
      <c r="L2057" s="193"/>
      <c r="M2057" s="138"/>
      <c r="N2057" s="138"/>
      <c r="O2057" s="138"/>
      <c r="S2057" s="72"/>
      <c r="T2057" s="72"/>
      <c r="U2057" s="72"/>
      <c r="V2057" s="72"/>
    </row>
    <row r="2058" spans="1:22" s="63" customFormat="1" ht="45" x14ac:dyDescent="0.25">
      <c r="A2058" s="108">
        <v>12.185</v>
      </c>
      <c r="B2058" s="102" t="s">
        <v>56</v>
      </c>
      <c r="C2058" s="105">
        <v>155</v>
      </c>
      <c r="D2058" s="167" t="s">
        <v>1818</v>
      </c>
      <c r="E2058" s="104" t="s">
        <v>3770</v>
      </c>
      <c r="F2058" s="102" t="s">
        <v>219</v>
      </c>
      <c r="G2058" s="105">
        <v>6</v>
      </c>
      <c r="H2058" s="106"/>
      <c r="I2058" s="107">
        <v>38917.07</v>
      </c>
      <c r="J2058" s="192">
        <f t="shared" si="199"/>
        <v>7254.79</v>
      </c>
      <c r="K2058" s="193">
        <f t="shared" si="198"/>
        <v>43528.74</v>
      </c>
      <c r="L2058" s="193"/>
      <c r="M2058" s="138"/>
      <c r="N2058" s="138"/>
      <c r="O2058" s="138"/>
      <c r="S2058" s="72"/>
      <c r="T2058" s="72"/>
      <c r="U2058" s="72"/>
      <c r="V2058" s="72"/>
    </row>
    <row r="2059" spans="1:22" s="63" customFormat="1" ht="45" x14ac:dyDescent="0.25">
      <c r="A2059" s="108">
        <v>12.186</v>
      </c>
      <c r="B2059" s="102" t="s">
        <v>56</v>
      </c>
      <c r="C2059" s="105">
        <v>156</v>
      </c>
      <c r="D2059" s="167" t="s">
        <v>1819</v>
      </c>
      <c r="E2059" s="104" t="s">
        <v>3771</v>
      </c>
      <c r="F2059" s="102" t="s">
        <v>219</v>
      </c>
      <c r="G2059" s="105">
        <v>6</v>
      </c>
      <c r="H2059" s="106"/>
      <c r="I2059" s="107">
        <v>4545.82</v>
      </c>
      <c r="J2059" s="192">
        <f t="shared" si="199"/>
        <v>847.42</v>
      </c>
      <c r="K2059" s="193">
        <f t="shared" si="198"/>
        <v>5084.5200000000004</v>
      </c>
      <c r="L2059" s="193"/>
      <c r="M2059" s="138"/>
      <c r="N2059" s="138"/>
      <c r="O2059" s="138"/>
      <c r="S2059" s="72"/>
      <c r="T2059" s="72"/>
      <c r="U2059" s="72"/>
      <c r="V2059" s="72"/>
    </row>
    <row r="2060" spans="1:22" s="63" customFormat="1" ht="45" x14ac:dyDescent="0.25">
      <c r="A2060" s="108">
        <v>12.186999999999999</v>
      </c>
      <c r="B2060" s="102" t="s">
        <v>56</v>
      </c>
      <c r="C2060" s="105">
        <v>157</v>
      </c>
      <c r="D2060" s="167" t="s">
        <v>1820</v>
      </c>
      <c r="E2060" s="104" t="s">
        <v>3846</v>
      </c>
      <c r="F2060" s="102" t="s">
        <v>219</v>
      </c>
      <c r="G2060" s="105">
        <v>6</v>
      </c>
      <c r="H2060" s="106"/>
      <c r="I2060" s="107">
        <v>32597.18</v>
      </c>
      <c r="J2060" s="192">
        <f t="shared" si="199"/>
        <v>6076.66</v>
      </c>
      <c r="K2060" s="193">
        <f t="shared" si="198"/>
        <v>36459.96</v>
      </c>
      <c r="L2060" s="193"/>
      <c r="M2060" s="138"/>
      <c r="N2060" s="138"/>
      <c r="O2060" s="138"/>
      <c r="S2060" s="72"/>
      <c r="T2060" s="72"/>
      <c r="U2060" s="72"/>
      <c r="V2060" s="72"/>
    </row>
    <row r="2061" spans="1:22" s="63" customFormat="1" ht="45" x14ac:dyDescent="0.25">
      <c r="A2061" s="108">
        <v>12.188000000000001</v>
      </c>
      <c r="B2061" s="102" t="s">
        <v>56</v>
      </c>
      <c r="C2061" s="105">
        <v>158</v>
      </c>
      <c r="D2061" s="167" t="s">
        <v>1821</v>
      </c>
      <c r="E2061" s="104" t="s">
        <v>3773</v>
      </c>
      <c r="F2061" s="102" t="s">
        <v>219</v>
      </c>
      <c r="G2061" s="105">
        <v>1</v>
      </c>
      <c r="H2061" s="106"/>
      <c r="I2061" s="107">
        <v>2544.58</v>
      </c>
      <c r="J2061" s="192">
        <f t="shared" si="199"/>
        <v>2846.11</v>
      </c>
      <c r="K2061" s="193">
        <f t="shared" si="198"/>
        <v>2846.11</v>
      </c>
      <c r="L2061" s="193"/>
      <c r="M2061" s="138"/>
      <c r="N2061" s="138"/>
      <c r="O2061" s="138"/>
      <c r="S2061" s="72"/>
      <c r="T2061" s="72"/>
      <c r="U2061" s="72"/>
      <c r="V2061" s="72"/>
    </row>
    <row r="2062" spans="1:22" s="63" customFormat="1" ht="45" x14ac:dyDescent="0.25">
      <c r="A2062" s="108">
        <v>12.189</v>
      </c>
      <c r="B2062" s="102" t="s">
        <v>56</v>
      </c>
      <c r="C2062" s="105">
        <v>159</v>
      </c>
      <c r="D2062" s="167" t="s">
        <v>1822</v>
      </c>
      <c r="E2062" s="104" t="s">
        <v>3775</v>
      </c>
      <c r="F2062" s="102" t="s">
        <v>219</v>
      </c>
      <c r="G2062" s="105">
        <v>6</v>
      </c>
      <c r="H2062" s="106"/>
      <c r="I2062" s="107">
        <v>27164.32</v>
      </c>
      <c r="J2062" s="192">
        <f t="shared" si="199"/>
        <v>5063.88</v>
      </c>
      <c r="K2062" s="193">
        <f t="shared" si="198"/>
        <v>30383.279999999999</v>
      </c>
      <c r="L2062" s="193"/>
      <c r="M2062" s="138"/>
      <c r="N2062" s="138"/>
      <c r="O2062" s="138"/>
      <c r="S2062" s="72"/>
      <c r="T2062" s="72"/>
      <c r="U2062" s="72"/>
      <c r="V2062" s="72"/>
    </row>
    <row r="2063" spans="1:22" s="63" customFormat="1" ht="45" x14ac:dyDescent="0.25">
      <c r="A2063" s="108">
        <v>12.19</v>
      </c>
      <c r="B2063" s="102" t="s">
        <v>56</v>
      </c>
      <c r="C2063" s="105">
        <v>160</v>
      </c>
      <c r="D2063" s="167" t="s">
        <v>1823</v>
      </c>
      <c r="E2063" s="104" t="s">
        <v>3847</v>
      </c>
      <c r="F2063" s="102" t="s">
        <v>219</v>
      </c>
      <c r="G2063" s="105">
        <v>1</v>
      </c>
      <c r="H2063" s="106"/>
      <c r="I2063" s="107">
        <v>7539.5</v>
      </c>
      <c r="J2063" s="192">
        <f t="shared" si="199"/>
        <v>8432.93</v>
      </c>
      <c r="K2063" s="193">
        <f t="shared" si="198"/>
        <v>8432.93</v>
      </c>
      <c r="L2063" s="193"/>
      <c r="M2063" s="138"/>
      <c r="N2063" s="138"/>
      <c r="O2063" s="138"/>
      <c r="S2063" s="72"/>
      <c r="T2063" s="72"/>
      <c r="U2063" s="72"/>
      <c r="V2063" s="72"/>
    </row>
    <row r="2064" spans="1:22" s="63" customFormat="1" ht="45" x14ac:dyDescent="0.25">
      <c r="A2064" s="108">
        <v>12.191000000000001</v>
      </c>
      <c r="B2064" s="102" t="s">
        <v>56</v>
      </c>
      <c r="C2064" s="105">
        <v>161</v>
      </c>
      <c r="D2064" s="167" t="s">
        <v>1824</v>
      </c>
      <c r="E2064" s="104" t="s">
        <v>3848</v>
      </c>
      <c r="F2064" s="102" t="s">
        <v>219</v>
      </c>
      <c r="G2064" s="105">
        <v>4</v>
      </c>
      <c r="H2064" s="106"/>
      <c r="I2064" s="107">
        <v>32870.699999999997</v>
      </c>
      <c r="J2064" s="192">
        <f t="shared" si="199"/>
        <v>9191.4699999999993</v>
      </c>
      <c r="K2064" s="193">
        <f t="shared" si="198"/>
        <v>36765.879999999997</v>
      </c>
      <c r="L2064" s="193"/>
      <c r="M2064" s="138"/>
      <c r="N2064" s="138"/>
      <c r="O2064" s="138"/>
      <c r="S2064" s="72"/>
      <c r="T2064" s="72"/>
      <c r="U2064" s="72"/>
      <c r="V2064" s="72"/>
    </row>
    <row r="2065" spans="1:22" s="275" customFormat="1" ht="12.75" x14ac:dyDescent="0.25">
      <c r="A2065" s="277"/>
      <c r="B2065" s="263"/>
      <c r="C2065" s="216"/>
      <c r="D2065" s="219"/>
      <c r="E2065" s="248" t="s">
        <v>3326</v>
      </c>
      <c r="F2065" s="263"/>
      <c r="G2065" s="216"/>
      <c r="H2065" s="264"/>
      <c r="I2065" s="221"/>
      <c r="J2065" s="265"/>
      <c r="K2065" s="266"/>
      <c r="L2065" s="266"/>
      <c r="M2065" s="274"/>
      <c r="N2065" s="274"/>
      <c r="O2065" s="274"/>
      <c r="S2065" s="276"/>
      <c r="T2065" s="276"/>
      <c r="U2065" s="276"/>
      <c r="V2065" s="276"/>
    </row>
    <row r="2066" spans="1:22" s="63" customFormat="1" ht="45" x14ac:dyDescent="0.25">
      <c r="A2066" s="108">
        <v>12.192</v>
      </c>
      <c r="B2066" s="102" t="s">
        <v>56</v>
      </c>
      <c r="C2066" s="105">
        <v>162</v>
      </c>
      <c r="D2066" s="167" t="s">
        <v>1825</v>
      </c>
      <c r="E2066" s="104" t="s">
        <v>3849</v>
      </c>
      <c r="F2066" s="102" t="s">
        <v>219</v>
      </c>
      <c r="G2066" s="105">
        <v>2</v>
      </c>
      <c r="H2066" s="106"/>
      <c r="I2066" s="107">
        <v>14609.6</v>
      </c>
      <c r="J2066" s="192">
        <f t="shared" ref="J2066:J2072" si="200">ROUND($I2066/$G2066*$N$12,2)</f>
        <v>8170.42</v>
      </c>
      <c r="K2066" s="193">
        <f t="shared" ref="K2066:K2097" si="201">ROUND(G2066*J2066,2)</f>
        <v>16340.84</v>
      </c>
      <c r="L2066" s="193"/>
      <c r="M2066" s="138"/>
      <c r="N2066" s="138"/>
      <c r="O2066" s="138"/>
      <c r="S2066" s="72"/>
      <c r="T2066" s="72"/>
      <c r="U2066" s="72"/>
      <c r="V2066" s="72"/>
    </row>
    <row r="2067" spans="1:22" s="63" customFormat="1" ht="45" x14ac:dyDescent="0.25">
      <c r="A2067" s="108">
        <v>12.193</v>
      </c>
      <c r="B2067" s="102" t="s">
        <v>56</v>
      </c>
      <c r="C2067" s="105">
        <v>163</v>
      </c>
      <c r="D2067" s="167" t="s">
        <v>1826</v>
      </c>
      <c r="E2067" s="104" t="s">
        <v>3850</v>
      </c>
      <c r="F2067" s="102" t="s">
        <v>219</v>
      </c>
      <c r="G2067" s="105">
        <v>4</v>
      </c>
      <c r="H2067" s="106"/>
      <c r="I2067" s="107">
        <v>7354.7</v>
      </c>
      <c r="J2067" s="192">
        <f t="shared" si="200"/>
        <v>2056.56</v>
      </c>
      <c r="K2067" s="193">
        <f t="shared" si="201"/>
        <v>8226.24</v>
      </c>
      <c r="L2067" s="193"/>
      <c r="M2067" s="138"/>
      <c r="N2067" s="138"/>
      <c r="O2067" s="138"/>
      <c r="S2067" s="72"/>
      <c r="T2067" s="72"/>
      <c r="U2067" s="72"/>
      <c r="V2067" s="72"/>
    </row>
    <row r="2068" spans="1:22" s="63" customFormat="1" ht="45" x14ac:dyDescent="0.25">
      <c r="A2068" s="108">
        <v>12.194000000000001</v>
      </c>
      <c r="B2068" s="102" t="s">
        <v>56</v>
      </c>
      <c r="C2068" s="105">
        <v>164</v>
      </c>
      <c r="D2068" s="167" t="s">
        <v>1827</v>
      </c>
      <c r="E2068" s="104" t="s">
        <v>3851</v>
      </c>
      <c r="F2068" s="102" t="s">
        <v>219</v>
      </c>
      <c r="G2068" s="105">
        <v>2</v>
      </c>
      <c r="H2068" s="106"/>
      <c r="I2068" s="107">
        <v>20756.2</v>
      </c>
      <c r="J2068" s="192">
        <f t="shared" si="200"/>
        <v>11607.9</v>
      </c>
      <c r="K2068" s="193">
        <f t="shared" si="201"/>
        <v>23215.8</v>
      </c>
      <c r="L2068" s="193"/>
      <c r="M2068" s="138"/>
      <c r="N2068" s="138"/>
      <c r="O2068" s="138"/>
      <c r="S2068" s="72"/>
      <c r="T2068" s="72"/>
      <c r="U2068" s="72"/>
      <c r="V2068" s="72"/>
    </row>
    <row r="2069" spans="1:22" s="63" customFormat="1" ht="45" x14ac:dyDescent="0.25">
      <c r="A2069" s="108">
        <v>12.195</v>
      </c>
      <c r="B2069" s="102" t="s">
        <v>56</v>
      </c>
      <c r="C2069" s="105">
        <v>165</v>
      </c>
      <c r="D2069" s="167" t="s">
        <v>1828</v>
      </c>
      <c r="E2069" s="104" t="s">
        <v>3852</v>
      </c>
      <c r="F2069" s="102" t="s">
        <v>219</v>
      </c>
      <c r="G2069" s="105">
        <v>1</v>
      </c>
      <c r="H2069" s="106"/>
      <c r="I2069" s="107">
        <v>3433.42</v>
      </c>
      <c r="J2069" s="192">
        <f t="shared" si="200"/>
        <v>3840.28</v>
      </c>
      <c r="K2069" s="193">
        <f t="shared" si="201"/>
        <v>3840.28</v>
      </c>
      <c r="L2069" s="193"/>
      <c r="M2069" s="138"/>
      <c r="N2069" s="138"/>
      <c r="O2069" s="138"/>
      <c r="S2069" s="72"/>
      <c r="T2069" s="72"/>
      <c r="U2069" s="72"/>
      <c r="V2069" s="72"/>
    </row>
    <row r="2070" spans="1:22" s="63" customFormat="1" ht="45" x14ac:dyDescent="0.25">
      <c r="A2070" s="108">
        <v>12.196</v>
      </c>
      <c r="B2070" s="102" t="s">
        <v>56</v>
      </c>
      <c r="C2070" s="105">
        <v>166</v>
      </c>
      <c r="D2070" s="167" t="s">
        <v>1829</v>
      </c>
      <c r="E2070" s="104" t="s">
        <v>3853</v>
      </c>
      <c r="F2070" s="102" t="s">
        <v>219</v>
      </c>
      <c r="G2070" s="105">
        <v>1</v>
      </c>
      <c r="H2070" s="106"/>
      <c r="I2070" s="107">
        <v>4998.63</v>
      </c>
      <c r="J2070" s="192">
        <f t="shared" si="200"/>
        <v>5590.97</v>
      </c>
      <c r="K2070" s="193">
        <f t="shared" si="201"/>
        <v>5590.97</v>
      </c>
      <c r="L2070" s="193"/>
      <c r="M2070" s="138"/>
      <c r="N2070" s="138"/>
      <c r="O2070" s="138"/>
      <c r="S2070" s="72"/>
      <c r="T2070" s="72"/>
      <c r="U2070" s="72"/>
      <c r="V2070" s="72"/>
    </row>
    <row r="2071" spans="1:22" s="63" customFormat="1" ht="45" x14ac:dyDescent="0.25">
      <c r="A2071" s="108">
        <v>12.196999999999999</v>
      </c>
      <c r="B2071" s="102" t="s">
        <v>56</v>
      </c>
      <c r="C2071" s="105">
        <v>167</v>
      </c>
      <c r="D2071" s="167" t="s">
        <v>1830</v>
      </c>
      <c r="E2071" s="104" t="s">
        <v>3854</v>
      </c>
      <c r="F2071" s="102" t="s">
        <v>219</v>
      </c>
      <c r="G2071" s="105">
        <v>1</v>
      </c>
      <c r="H2071" s="106"/>
      <c r="I2071" s="107">
        <v>9154.5400000000009</v>
      </c>
      <c r="J2071" s="192">
        <f t="shared" si="200"/>
        <v>10239.35</v>
      </c>
      <c r="K2071" s="193">
        <f t="shared" si="201"/>
        <v>10239.35</v>
      </c>
      <c r="L2071" s="193"/>
      <c r="M2071" s="138"/>
      <c r="N2071" s="138"/>
      <c r="O2071" s="138"/>
      <c r="S2071" s="72"/>
      <c r="T2071" s="72"/>
      <c r="U2071" s="72"/>
      <c r="V2071" s="72"/>
    </row>
    <row r="2072" spans="1:22" s="63" customFormat="1" ht="45" x14ac:dyDescent="0.25">
      <c r="A2072" s="108">
        <v>12.198</v>
      </c>
      <c r="B2072" s="102" t="s">
        <v>56</v>
      </c>
      <c r="C2072" s="105">
        <v>168</v>
      </c>
      <c r="D2072" s="167" t="s">
        <v>1831</v>
      </c>
      <c r="E2072" s="104" t="s">
        <v>3855</v>
      </c>
      <c r="F2072" s="102" t="s">
        <v>219</v>
      </c>
      <c r="G2072" s="105">
        <v>2</v>
      </c>
      <c r="H2072" s="106"/>
      <c r="I2072" s="107">
        <v>70830.52</v>
      </c>
      <c r="J2072" s="192">
        <f t="shared" si="200"/>
        <v>39611.97</v>
      </c>
      <c r="K2072" s="193">
        <f t="shared" si="201"/>
        <v>79223.94</v>
      </c>
      <c r="L2072" s="193"/>
      <c r="M2072" s="138"/>
      <c r="N2072" s="138"/>
      <c r="O2072" s="138"/>
      <c r="S2072" s="72"/>
      <c r="T2072" s="72"/>
      <c r="U2072" s="72"/>
      <c r="V2072" s="72"/>
    </row>
    <row r="2073" spans="1:22" s="63" customFormat="1" ht="15" x14ac:dyDescent="0.25">
      <c r="A2073" s="84">
        <v>12.199</v>
      </c>
      <c r="B2073" s="81" t="s">
        <v>56</v>
      </c>
      <c r="C2073" s="82">
        <v>169</v>
      </c>
      <c r="D2073" s="131" t="s">
        <v>1832</v>
      </c>
      <c r="E2073" s="83" t="s">
        <v>1833</v>
      </c>
      <c r="F2073" s="81" t="s">
        <v>687</v>
      </c>
      <c r="G2073" s="80">
        <v>0.1</v>
      </c>
      <c r="H2073" s="85"/>
      <c r="I2073" s="86">
        <v>1143.32</v>
      </c>
      <c r="J2073" s="185">
        <f>ROUND($I2073/$G2073*$N$11,2)</f>
        <v>13017.84</v>
      </c>
      <c r="K2073" s="189">
        <f t="shared" si="201"/>
        <v>1301.78</v>
      </c>
      <c r="L2073" s="189"/>
      <c r="M2073" s="138"/>
      <c r="N2073" s="138"/>
      <c r="O2073" s="138"/>
      <c r="S2073" s="72"/>
      <c r="T2073" s="72"/>
      <c r="U2073" s="72"/>
      <c r="V2073" s="72"/>
    </row>
    <row r="2074" spans="1:22" s="63" customFormat="1" ht="45" x14ac:dyDescent="0.25">
      <c r="A2074" s="108">
        <v>12.2</v>
      </c>
      <c r="B2074" s="102" t="s">
        <v>56</v>
      </c>
      <c r="C2074" s="103">
        <v>169.1</v>
      </c>
      <c r="D2074" s="167" t="s">
        <v>1834</v>
      </c>
      <c r="E2074" s="104" t="s">
        <v>3856</v>
      </c>
      <c r="F2074" s="102" t="s">
        <v>219</v>
      </c>
      <c r="G2074" s="105">
        <v>1</v>
      </c>
      <c r="H2074" s="106"/>
      <c r="I2074" s="107">
        <v>15716.53</v>
      </c>
      <c r="J2074" s="192">
        <f>ROUND($I2074/$G2074*$N$12,2)</f>
        <v>17578.939999999999</v>
      </c>
      <c r="K2074" s="193">
        <f t="shared" si="201"/>
        <v>17578.939999999999</v>
      </c>
      <c r="L2074" s="193"/>
      <c r="M2074" s="138"/>
      <c r="N2074" s="138"/>
      <c r="O2074" s="138"/>
      <c r="S2074" s="72"/>
      <c r="T2074" s="72"/>
      <c r="U2074" s="72"/>
      <c r="V2074" s="72"/>
    </row>
    <row r="2075" spans="1:22" s="63" customFormat="1" ht="15" x14ac:dyDescent="0.25">
      <c r="A2075" s="84">
        <v>12.201000000000001</v>
      </c>
      <c r="B2075" s="81" t="s">
        <v>56</v>
      </c>
      <c r="C2075" s="82">
        <v>170</v>
      </c>
      <c r="D2075" s="131" t="s">
        <v>1835</v>
      </c>
      <c r="E2075" s="83" t="s">
        <v>1836</v>
      </c>
      <c r="F2075" s="81" t="s">
        <v>219</v>
      </c>
      <c r="G2075" s="82">
        <v>1</v>
      </c>
      <c r="H2075" s="85"/>
      <c r="I2075" s="86">
        <v>1237.78</v>
      </c>
      <c r="J2075" s="185">
        <f>ROUND($I2075/$G2075*$N$11,2)</f>
        <v>1409.34</v>
      </c>
      <c r="K2075" s="189">
        <f t="shared" si="201"/>
        <v>1409.34</v>
      </c>
      <c r="L2075" s="189"/>
      <c r="M2075" s="138"/>
      <c r="N2075" s="138"/>
      <c r="O2075" s="138"/>
      <c r="S2075" s="72"/>
      <c r="T2075" s="72"/>
      <c r="U2075" s="72"/>
      <c r="V2075" s="72"/>
    </row>
    <row r="2076" spans="1:22" s="63" customFormat="1" ht="45" x14ac:dyDescent="0.25">
      <c r="A2076" s="108">
        <v>12.202</v>
      </c>
      <c r="B2076" s="102" t="s">
        <v>56</v>
      </c>
      <c r="C2076" s="103">
        <v>170.1</v>
      </c>
      <c r="D2076" s="167" t="s">
        <v>1837</v>
      </c>
      <c r="E2076" s="104" t="s">
        <v>3857</v>
      </c>
      <c r="F2076" s="102" t="s">
        <v>219</v>
      </c>
      <c r="G2076" s="105">
        <v>1</v>
      </c>
      <c r="H2076" s="106"/>
      <c r="I2076" s="107">
        <v>7785.26</v>
      </c>
      <c r="J2076" s="192">
        <f>ROUND($I2076/$G2076*$N$12,2)</f>
        <v>8707.81</v>
      </c>
      <c r="K2076" s="193">
        <f t="shared" si="201"/>
        <v>8707.81</v>
      </c>
      <c r="L2076" s="193"/>
      <c r="M2076" s="138"/>
      <c r="N2076" s="138"/>
      <c r="O2076" s="138"/>
      <c r="S2076" s="72"/>
      <c r="T2076" s="72"/>
      <c r="U2076" s="72"/>
      <c r="V2076" s="72"/>
    </row>
    <row r="2077" spans="1:22" s="63" customFormat="1" ht="15" x14ac:dyDescent="0.25">
      <c r="A2077" s="84">
        <v>12.202999999999999</v>
      </c>
      <c r="B2077" s="81" t="s">
        <v>56</v>
      </c>
      <c r="C2077" s="82">
        <v>171</v>
      </c>
      <c r="D2077" s="131" t="s">
        <v>1747</v>
      </c>
      <c r="E2077" s="83" t="s">
        <v>1748</v>
      </c>
      <c r="F2077" s="81" t="s">
        <v>219</v>
      </c>
      <c r="G2077" s="82">
        <v>2</v>
      </c>
      <c r="H2077" s="85"/>
      <c r="I2077" s="86">
        <v>18400.45</v>
      </c>
      <c r="J2077" s="185">
        <f>ROUND($I2077/$G2077*$N$11,2)</f>
        <v>10475.379999999999</v>
      </c>
      <c r="K2077" s="189">
        <f t="shared" si="201"/>
        <v>20950.759999999998</v>
      </c>
      <c r="L2077" s="189"/>
      <c r="M2077" s="138"/>
      <c r="N2077" s="138"/>
      <c r="O2077" s="138"/>
      <c r="S2077" s="72"/>
      <c r="T2077" s="72"/>
      <c r="U2077" s="72"/>
      <c r="V2077" s="72"/>
    </row>
    <row r="2078" spans="1:22" s="63" customFormat="1" ht="45" x14ac:dyDescent="0.25">
      <c r="A2078" s="108">
        <v>12.204000000000001</v>
      </c>
      <c r="B2078" s="102" t="s">
        <v>56</v>
      </c>
      <c r="C2078" s="103">
        <v>171.1</v>
      </c>
      <c r="D2078" s="167" t="s">
        <v>1838</v>
      </c>
      <c r="E2078" s="104" t="s">
        <v>3858</v>
      </c>
      <c r="F2078" s="102" t="s">
        <v>219</v>
      </c>
      <c r="G2078" s="105">
        <v>1</v>
      </c>
      <c r="H2078" s="106"/>
      <c r="I2078" s="107">
        <v>1748.11</v>
      </c>
      <c r="J2078" s="192">
        <f>ROUND($I2078/$G2078*$N$12,2)</f>
        <v>1955.26</v>
      </c>
      <c r="K2078" s="193">
        <f t="shared" si="201"/>
        <v>1955.26</v>
      </c>
      <c r="L2078" s="193"/>
      <c r="M2078" s="138"/>
      <c r="N2078" s="138"/>
      <c r="O2078" s="138"/>
      <c r="S2078" s="72"/>
      <c r="T2078" s="72"/>
      <c r="U2078" s="72"/>
      <c r="V2078" s="72"/>
    </row>
    <row r="2079" spans="1:22" s="63" customFormat="1" ht="45" x14ac:dyDescent="0.25">
      <c r="A2079" s="108">
        <v>12.205</v>
      </c>
      <c r="B2079" s="102" t="s">
        <v>56</v>
      </c>
      <c r="C2079" s="105">
        <v>172</v>
      </c>
      <c r="D2079" s="167" t="s">
        <v>1839</v>
      </c>
      <c r="E2079" s="104" t="s">
        <v>3859</v>
      </c>
      <c r="F2079" s="102" t="s">
        <v>219</v>
      </c>
      <c r="G2079" s="105">
        <v>1</v>
      </c>
      <c r="H2079" s="106"/>
      <c r="I2079" s="107">
        <v>4431.28</v>
      </c>
      <c r="J2079" s="192">
        <f>ROUND($I2079/$G2079*$N$12,2)</f>
        <v>4956.3900000000003</v>
      </c>
      <c r="K2079" s="193">
        <f t="shared" si="201"/>
        <v>4956.3900000000003</v>
      </c>
      <c r="L2079" s="193"/>
      <c r="M2079" s="138"/>
      <c r="N2079" s="138"/>
      <c r="O2079" s="138"/>
      <c r="S2079" s="72"/>
      <c r="T2079" s="72"/>
      <c r="U2079" s="72"/>
      <c r="V2079" s="72"/>
    </row>
    <row r="2080" spans="1:22" s="63" customFormat="1" ht="45" x14ac:dyDescent="0.25">
      <c r="A2080" s="108">
        <v>12.206</v>
      </c>
      <c r="B2080" s="102" t="s">
        <v>56</v>
      </c>
      <c r="C2080" s="105">
        <v>173</v>
      </c>
      <c r="D2080" s="167" t="s">
        <v>1840</v>
      </c>
      <c r="E2080" s="104" t="s">
        <v>3860</v>
      </c>
      <c r="F2080" s="102" t="s">
        <v>219</v>
      </c>
      <c r="G2080" s="105">
        <v>1</v>
      </c>
      <c r="H2080" s="106"/>
      <c r="I2080" s="107">
        <v>11991.09</v>
      </c>
      <c r="J2080" s="192">
        <f>ROUND($I2080/$G2080*$N$12,2)</f>
        <v>13412.03</v>
      </c>
      <c r="K2080" s="193">
        <f t="shared" si="201"/>
        <v>13412.03</v>
      </c>
      <c r="L2080" s="193"/>
      <c r="M2080" s="138"/>
      <c r="N2080" s="138"/>
      <c r="O2080" s="138"/>
      <c r="S2080" s="72"/>
      <c r="T2080" s="72"/>
      <c r="U2080" s="72"/>
      <c r="V2080" s="72"/>
    </row>
    <row r="2081" spans="1:22" s="63" customFormat="1" ht="45" x14ac:dyDescent="0.25">
      <c r="A2081" s="108">
        <v>12.207000000000001</v>
      </c>
      <c r="B2081" s="102" t="s">
        <v>56</v>
      </c>
      <c r="C2081" s="105">
        <v>174</v>
      </c>
      <c r="D2081" s="167" t="s">
        <v>1841</v>
      </c>
      <c r="E2081" s="104" t="s">
        <v>3861</v>
      </c>
      <c r="F2081" s="102" t="s">
        <v>219</v>
      </c>
      <c r="G2081" s="105">
        <v>1</v>
      </c>
      <c r="H2081" s="106"/>
      <c r="I2081" s="107">
        <v>14258.48</v>
      </c>
      <c r="J2081" s="192">
        <f>ROUND($I2081/$G2081*$N$12,2)</f>
        <v>15948.11</v>
      </c>
      <c r="K2081" s="193">
        <f t="shared" si="201"/>
        <v>15948.11</v>
      </c>
      <c r="L2081" s="193"/>
      <c r="M2081" s="138"/>
      <c r="N2081" s="138"/>
      <c r="O2081" s="138"/>
      <c r="S2081" s="72"/>
      <c r="T2081" s="72"/>
      <c r="U2081" s="72"/>
      <c r="V2081" s="72"/>
    </row>
    <row r="2082" spans="1:22" s="63" customFormat="1" ht="45" x14ac:dyDescent="0.25">
      <c r="A2082" s="108">
        <v>12.208</v>
      </c>
      <c r="B2082" s="102" t="s">
        <v>56</v>
      </c>
      <c r="C2082" s="105">
        <v>175</v>
      </c>
      <c r="D2082" s="167" t="s">
        <v>1842</v>
      </c>
      <c r="E2082" s="104" t="s">
        <v>3862</v>
      </c>
      <c r="F2082" s="102" t="s">
        <v>219</v>
      </c>
      <c r="G2082" s="105">
        <v>1</v>
      </c>
      <c r="H2082" s="106"/>
      <c r="I2082" s="107">
        <v>4416.5</v>
      </c>
      <c r="J2082" s="192">
        <f>ROUND($I2082/$G2082*$N$12,2)</f>
        <v>4939.8599999999997</v>
      </c>
      <c r="K2082" s="193">
        <f t="shared" si="201"/>
        <v>4939.8599999999997</v>
      </c>
      <c r="L2082" s="193"/>
      <c r="M2082" s="138"/>
      <c r="N2082" s="138"/>
      <c r="O2082" s="138"/>
      <c r="S2082" s="72"/>
      <c r="T2082" s="72"/>
      <c r="U2082" s="72"/>
      <c r="V2082" s="72"/>
    </row>
    <row r="2083" spans="1:22" s="63" customFormat="1" ht="15" x14ac:dyDescent="0.25">
      <c r="A2083" s="84">
        <v>12.209</v>
      </c>
      <c r="B2083" s="81" t="s">
        <v>56</v>
      </c>
      <c r="C2083" s="82">
        <v>176</v>
      </c>
      <c r="D2083" s="131" t="s">
        <v>1843</v>
      </c>
      <c r="E2083" s="83" t="s">
        <v>1844</v>
      </c>
      <c r="F2083" s="81" t="s">
        <v>491</v>
      </c>
      <c r="G2083" s="82">
        <v>1</v>
      </c>
      <c r="H2083" s="85"/>
      <c r="I2083" s="86">
        <v>140772.5</v>
      </c>
      <c r="J2083" s="185">
        <f>ROUND($I2083/$G2083*$N$11,2)</f>
        <v>160283.57</v>
      </c>
      <c r="K2083" s="189">
        <f t="shared" si="201"/>
        <v>160283.57</v>
      </c>
      <c r="L2083" s="189"/>
      <c r="M2083" s="138"/>
      <c r="N2083" s="138"/>
      <c r="O2083" s="138"/>
      <c r="S2083" s="72"/>
      <c r="T2083" s="72"/>
      <c r="U2083" s="72"/>
      <c r="V2083" s="72"/>
    </row>
    <row r="2084" spans="1:22" s="63" customFormat="1" ht="45" x14ac:dyDescent="0.25">
      <c r="A2084" s="108">
        <v>12.21</v>
      </c>
      <c r="B2084" s="102" t="s">
        <v>56</v>
      </c>
      <c r="C2084" s="103">
        <v>176.1</v>
      </c>
      <c r="D2084" s="167" t="s">
        <v>1845</v>
      </c>
      <c r="E2084" s="104" t="s">
        <v>3863</v>
      </c>
      <c r="F2084" s="102" t="s">
        <v>219</v>
      </c>
      <c r="G2084" s="105">
        <v>1</v>
      </c>
      <c r="H2084" s="106"/>
      <c r="I2084" s="107">
        <v>258707.83</v>
      </c>
      <c r="J2084" s="192">
        <f t="shared" ref="J2084:J2094" si="202">ROUND($I2084/$G2084*$N$12,2)</f>
        <v>289364.71000000002</v>
      </c>
      <c r="K2084" s="193">
        <f t="shared" si="201"/>
        <v>289364.71000000002</v>
      </c>
      <c r="L2084" s="193"/>
      <c r="M2084" s="138"/>
      <c r="N2084" s="138"/>
      <c r="O2084" s="138"/>
      <c r="S2084" s="72"/>
      <c r="T2084" s="72"/>
      <c r="U2084" s="72"/>
      <c r="V2084" s="72"/>
    </row>
    <row r="2085" spans="1:22" s="63" customFormat="1" ht="45" x14ac:dyDescent="0.25">
      <c r="A2085" s="108">
        <v>12.211</v>
      </c>
      <c r="B2085" s="102" t="s">
        <v>56</v>
      </c>
      <c r="C2085" s="105">
        <v>177</v>
      </c>
      <c r="D2085" s="167" t="s">
        <v>1846</v>
      </c>
      <c r="E2085" s="104" t="s">
        <v>3864</v>
      </c>
      <c r="F2085" s="102" t="s">
        <v>219</v>
      </c>
      <c r="G2085" s="105">
        <v>1</v>
      </c>
      <c r="H2085" s="106"/>
      <c r="I2085" s="107">
        <v>12103.82</v>
      </c>
      <c r="J2085" s="192">
        <f t="shared" si="202"/>
        <v>13538.12</v>
      </c>
      <c r="K2085" s="193">
        <f t="shared" si="201"/>
        <v>13538.12</v>
      </c>
      <c r="L2085" s="193"/>
      <c r="M2085" s="138"/>
      <c r="N2085" s="138"/>
      <c r="O2085" s="138"/>
      <c r="S2085" s="72"/>
      <c r="T2085" s="72"/>
      <c r="U2085" s="72"/>
      <c r="V2085" s="72"/>
    </row>
    <row r="2086" spans="1:22" s="63" customFormat="1" ht="45" x14ac:dyDescent="0.25">
      <c r="A2086" s="108">
        <v>12.212</v>
      </c>
      <c r="B2086" s="102" t="s">
        <v>56</v>
      </c>
      <c r="C2086" s="105">
        <v>178</v>
      </c>
      <c r="D2086" s="167" t="s">
        <v>1847</v>
      </c>
      <c r="E2086" s="104" t="s">
        <v>3865</v>
      </c>
      <c r="F2086" s="102" t="s">
        <v>219</v>
      </c>
      <c r="G2086" s="105">
        <v>1</v>
      </c>
      <c r="H2086" s="106"/>
      <c r="I2086" s="107">
        <v>8688.89</v>
      </c>
      <c r="J2086" s="192">
        <f t="shared" si="202"/>
        <v>9718.52</v>
      </c>
      <c r="K2086" s="193">
        <f t="shared" si="201"/>
        <v>9718.52</v>
      </c>
      <c r="L2086" s="193"/>
      <c r="M2086" s="138"/>
      <c r="N2086" s="138"/>
      <c r="O2086" s="138"/>
      <c r="S2086" s="72"/>
      <c r="T2086" s="72"/>
      <c r="U2086" s="72"/>
      <c r="V2086" s="72"/>
    </row>
    <row r="2087" spans="1:22" s="63" customFormat="1" ht="45" x14ac:dyDescent="0.25">
      <c r="A2087" s="108">
        <v>12.212999999999999</v>
      </c>
      <c r="B2087" s="102" t="s">
        <v>56</v>
      </c>
      <c r="C2087" s="105">
        <v>179</v>
      </c>
      <c r="D2087" s="167" t="s">
        <v>1848</v>
      </c>
      <c r="E2087" s="104" t="s">
        <v>3866</v>
      </c>
      <c r="F2087" s="102" t="s">
        <v>219</v>
      </c>
      <c r="G2087" s="105">
        <v>1</v>
      </c>
      <c r="H2087" s="106"/>
      <c r="I2087" s="107">
        <v>42439.16</v>
      </c>
      <c r="J2087" s="192">
        <f t="shared" si="202"/>
        <v>47468.2</v>
      </c>
      <c r="K2087" s="193">
        <f t="shared" si="201"/>
        <v>47468.2</v>
      </c>
      <c r="L2087" s="193"/>
      <c r="M2087" s="138"/>
      <c r="N2087" s="138"/>
      <c r="O2087" s="138"/>
      <c r="S2087" s="72"/>
      <c r="T2087" s="72"/>
      <c r="U2087" s="72"/>
      <c r="V2087" s="72"/>
    </row>
    <row r="2088" spans="1:22" s="63" customFormat="1" ht="45" x14ac:dyDescent="0.25">
      <c r="A2088" s="108">
        <v>12.214</v>
      </c>
      <c r="B2088" s="102" t="s">
        <v>56</v>
      </c>
      <c r="C2088" s="105">
        <v>180</v>
      </c>
      <c r="D2088" s="167" t="s">
        <v>1849</v>
      </c>
      <c r="E2088" s="104" t="s">
        <v>3867</v>
      </c>
      <c r="F2088" s="102" t="s">
        <v>219</v>
      </c>
      <c r="G2088" s="105">
        <v>3</v>
      </c>
      <c r="H2088" s="106"/>
      <c r="I2088" s="107">
        <v>85922.45</v>
      </c>
      <c r="J2088" s="192">
        <f t="shared" si="202"/>
        <v>32034.75</v>
      </c>
      <c r="K2088" s="193">
        <f t="shared" si="201"/>
        <v>96104.25</v>
      </c>
      <c r="L2088" s="193"/>
      <c r="M2088" s="138"/>
      <c r="N2088" s="138"/>
      <c r="O2088" s="138"/>
      <c r="S2088" s="72"/>
      <c r="T2088" s="72"/>
      <c r="U2088" s="72"/>
      <c r="V2088" s="72"/>
    </row>
    <row r="2089" spans="1:22" s="63" customFormat="1" ht="45" x14ac:dyDescent="0.25">
      <c r="A2089" s="108">
        <v>12.215</v>
      </c>
      <c r="B2089" s="102" t="s">
        <v>56</v>
      </c>
      <c r="C2089" s="105">
        <v>181</v>
      </c>
      <c r="D2089" s="167" t="s">
        <v>1850</v>
      </c>
      <c r="E2089" s="104" t="s">
        <v>3868</v>
      </c>
      <c r="F2089" s="102" t="s">
        <v>219</v>
      </c>
      <c r="G2089" s="105">
        <v>1</v>
      </c>
      <c r="H2089" s="106"/>
      <c r="I2089" s="107">
        <v>28640.82</v>
      </c>
      <c r="J2089" s="192">
        <f t="shared" si="202"/>
        <v>32034.76</v>
      </c>
      <c r="K2089" s="193">
        <f t="shared" si="201"/>
        <v>32034.76</v>
      </c>
      <c r="L2089" s="193"/>
      <c r="M2089" s="138"/>
      <c r="N2089" s="138"/>
      <c r="O2089" s="138"/>
      <c r="S2089" s="72"/>
      <c r="T2089" s="72"/>
      <c r="U2089" s="72"/>
      <c r="V2089" s="72"/>
    </row>
    <row r="2090" spans="1:22" s="63" customFormat="1" ht="45" x14ac:dyDescent="0.25">
      <c r="A2090" s="108">
        <v>12.215999999999999</v>
      </c>
      <c r="B2090" s="102" t="s">
        <v>56</v>
      </c>
      <c r="C2090" s="105">
        <v>182</v>
      </c>
      <c r="D2090" s="167" t="s">
        <v>1851</v>
      </c>
      <c r="E2090" s="104" t="s">
        <v>3869</v>
      </c>
      <c r="F2090" s="102" t="s">
        <v>219</v>
      </c>
      <c r="G2090" s="105">
        <v>1</v>
      </c>
      <c r="H2090" s="106"/>
      <c r="I2090" s="107">
        <v>1476.49</v>
      </c>
      <c r="J2090" s="192">
        <f t="shared" si="202"/>
        <v>1651.45</v>
      </c>
      <c r="K2090" s="193">
        <f t="shared" si="201"/>
        <v>1651.45</v>
      </c>
      <c r="L2090" s="193"/>
      <c r="M2090" s="138"/>
      <c r="N2090" s="138"/>
      <c r="O2090" s="138"/>
      <c r="S2090" s="72"/>
      <c r="T2090" s="72"/>
      <c r="U2090" s="72"/>
      <c r="V2090" s="72"/>
    </row>
    <row r="2091" spans="1:22" s="63" customFormat="1" ht="45" x14ac:dyDescent="0.25">
      <c r="A2091" s="108">
        <v>12.217000000000001</v>
      </c>
      <c r="B2091" s="102" t="s">
        <v>56</v>
      </c>
      <c r="C2091" s="105">
        <v>183</v>
      </c>
      <c r="D2091" s="167" t="s">
        <v>1852</v>
      </c>
      <c r="E2091" s="104" t="s">
        <v>3870</v>
      </c>
      <c r="F2091" s="102" t="s">
        <v>219</v>
      </c>
      <c r="G2091" s="105">
        <v>2</v>
      </c>
      <c r="H2091" s="106"/>
      <c r="I2091" s="107">
        <v>221745.88</v>
      </c>
      <c r="J2091" s="192">
        <f t="shared" si="202"/>
        <v>124011.38</v>
      </c>
      <c r="K2091" s="193">
        <f t="shared" si="201"/>
        <v>248022.76</v>
      </c>
      <c r="L2091" s="193"/>
      <c r="M2091" s="138"/>
      <c r="N2091" s="138"/>
      <c r="O2091" s="138"/>
      <c r="S2091" s="72"/>
      <c r="T2091" s="72"/>
      <c r="U2091" s="72"/>
      <c r="V2091" s="72"/>
    </row>
    <row r="2092" spans="1:22" s="63" customFormat="1" ht="45" x14ac:dyDescent="0.25">
      <c r="A2092" s="108">
        <v>12.218</v>
      </c>
      <c r="B2092" s="102" t="s">
        <v>56</v>
      </c>
      <c r="C2092" s="105">
        <v>184</v>
      </c>
      <c r="D2092" s="167" t="s">
        <v>1853</v>
      </c>
      <c r="E2092" s="104" t="s">
        <v>3871</v>
      </c>
      <c r="F2092" s="102" t="s">
        <v>219</v>
      </c>
      <c r="G2092" s="105">
        <v>2</v>
      </c>
      <c r="H2092" s="106"/>
      <c r="I2092" s="107">
        <v>18811.77</v>
      </c>
      <c r="J2092" s="192">
        <f t="shared" si="202"/>
        <v>10520.48</v>
      </c>
      <c r="K2092" s="193">
        <f t="shared" si="201"/>
        <v>21040.959999999999</v>
      </c>
      <c r="L2092" s="193"/>
      <c r="M2092" s="138"/>
      <c r="N2092" s="138"/>
      <c r="O2092" s="138"/>
      <c r="S2092" s="72"/>
      <c r="T2092" s="72"/>
      <c r="U2092" s="72"/>
      <c r="V2092" s="72"/>
    </row>
    <row r="2093" spans="1:22" s="63" customFormat="1" ht="45" x14ac:dyDescent="0.25">
      <c r="A2093" s="108">
        <v>12.218999999999999</v>
      </c>
      <c r="B2093" s="102" t="s">
        <v>56</v>
      </c>
      <c r="C2093" s="105">
        <v>185</v>
      </c>
      <c r="D2093" s="167" t="s">
        <v>1854</v>
      </c>
      <c r="E2093" s="104" t="s">
        <v>3872</v>
      </c>
      <c r="F2093" s="102" t="s">
        <v>219</v>
      </c>
      <c r="G2093" s="105">
        <v>1</v>
      </c>
      <c r="H2093" s="106"/>
      <c r="I2093" s="107">
        <v>5081.79</v>
      </c>
      <c r="J2093" s="192">
        <f t="shared" si="202"/>
        <v>5683.98</v>
      </c>
      <c r="K2093" s="193">
        <f t="shared" si="201"/>
        <v>5683.98</v>
      </c>
      <c r="L2093" s="193"/>
      <c r="M2093" s="138"/>
      <c r="N2093" s="138"/>
      <c r="O2093" s="138"/>
      <c r="S2093" s="72"/>
      <c r="T2093" s="72"/>
      <c r="U2093" s="72"/>
      <c r="V2093" s="72"/>
    </row>
    <row r="2094" spans="1:22" s="63" customFormat="1" ht="45" x14ac:dyDescent="0.25">
      <c r="A2094" s="108">
        <v>12.22</v>
      </c>
      <c r="B2094" s="102" t="s">
        <v>56</v>
      </c>
      <c r="C2094" s="105">
        <v>186</v>
      </c>
      <c r="D2094" s="167" t="s">
        <v>1855</v>
      </c>
      <c r="E2094" s="104" t="s">
        <v>3774</v>
      </c>
      <c r="F2094" s="102" t="s">
        <v>219</v>
      </c>
      <c r="G2094" s="105">
        <v>1</v>
      </c>
      <c r="H2094" s="106"/>
      <c r="I2094" s="107">
        <v>15760.84</v>
      </c>
      <c r="J2094" s="192">
        <f t="shared" si="202"/>
        <v>17628.5</v>
      </c>
      <c r="K2094" s="193">
        <f t="shared" si="201"/>
        <v>17628.5</v>
      </c>
      <c r="L2094" s="193"/>
      <c r="M2094" s="138"/>
      <c r="N2094" s="138"/>
      <c r="O2094" s="138"/>
      <c r="S2094" s="72"/>
      <c r="T2094" s="72"/>
      <c r="U2094" s="72"/>
      <c r="V2094" s="72"/>
    </row>
    <row r="2095" spans="1:22" s="63" customFormat="1" ht="15" x14ac:dyDescent="0.25">
      <c r="A2095" s="84">
        <v>12.221</v>
      </c>
      <c r="B2095" s="81" t="s">
        <v>56</v>
      </c>
      <c r="C2095" s="82">
        <v>187</v>
      </c>
      <c r="D2095" s="131" t="s">
        <v>1695</v>
      </c>
      <c r="E2095" s="83" t="s">
        <v>1696</v>
      </c>
      <c r="F2095" s="81" t="s">
        <v>219</v>
      </c>
      <c r="G2095" s="82">
        <v>4</v>
      </c>
      <c r="H2095" s="85"/>
      <c r="I2095" s="86">
        <v>4180.32</v>
      </c>
      <c r="J2095" s="185">
        <f>ROUND($I2095/$G2095*$N$11,2)</f>
        <v>1189.93</v>
      </c>
      <c r="K2095" s="189">
        <f t="shared" si="201"/>
        <v>4759.72</v>
      </c>
      <c r="L2095" s="189"/>
      <c r="M2095" s="138"/>
      <c r="N2095" s="138"/>
      <c r="O2095" s="138"/>
      <c r="S2095" s="72"/>
      <c r="T2095" s="72"/>
      <c r="U2095" s="72"/>
      <c r="V2095" s="72"/>
    </row>
    <row r="2096" spans="1:22" s="63" customFormat="1" ht="45" x14ac:dyDescent="0.25">
      <c r="A2096" s="108">
        <v>12.222</v>
      </c>
      <c r="B2096" s="102" t="s">
        <v>56</v>
      </c>
      <c r="C2096" s="103">
        <v>187.1</v>
      </c>
      <c r="D2096" s="167" t="s">
        <v>1856</v>
      </c>
      <c r="E2096" s="104" t="s">
        <v>3873</v>
      </c>
      <c r="F2096" s="102" t="s">
        <v>219</v>
      </c>
      <c r="G2096" s="105">
        <v>4</v>
      </c>
      <c r="H2096" s="106"/>
      <c r="I2096" s="107">
        <v>13933.28</v>
      </c>
      <c r="J2096" s="192">
        <f t="shared" ref="J2096:J2115" si="203">ROUND($I2096/$G2096*$N$12,2)</f>
        <v>3896.09</v>
      </c>
      <c r="K2096" s="193">
        <f t="shared" si="201"/>
        <v>15584.36</v>
      </c>
      <c r="L2096" s="193"/>
      <c r="M2096" s="138"/>
      <c r="N2096" s="138"/>
      <c r="O2096" s="138"/>
      <c r="S2096" s="72"/>
      <c r="T2096" s="72"/>
      <c r="U2096" s="72"/>
      <c r="V2096" s="72"/>
    </row>
    <row r="2097" spans="1:22" s="63" customFormat="1" ht="45" x14ac:dyDescent="0.25">
      <c r="A2097" s="108">
        <v>12.223000000000001</v>
      </c>
      <c r="B2097" s="102" t="s">
        <v>56</v>
      </c>
      <c r="C2097" s="105">
        <v>188</v>
      </c>
      <c r="D2097" s="167" t="s">
        <v>1857</v>
      </c>
      <c r="E2097" s="104" t="s">
        <v>3874</v>
      </c>
      <c r="F2097" s="102" t="s">
        <v>219</v>
      </c>
      <c r="G2097" s="105">
        <v>2</v>
      </c>
      <c r="H2097" s="106"/>
      <c r="I2097" s="107">
        <v>28790.49</v>
      </c>
      <c r="J2097" s="192">
        <f t="shared" si="203"/>
        <v>16101.08</v>
      </c>
      <c r="K2097" s="193">
        <f t="shared" si="201"/>
        <v>32202.16</v>
      </c>
      <c r="L2097" s="193"/>
      <c r="M2097" s="138"/>
      <c r="N2097" s="138"/>
      <c r="O2097" s="138"/>
      <c r="S2097" s="72"/>
      <c r="T2097" s="72"/>
      <c r="U2097" s="72"/>
      <c r="V2097" s="72"/>
    </row>
    <row r="2098" spans="1:22" s="63" customFormat="1" ht="45" x14ac:dyDescent="0.25">
      <c r="A2098" s="108">
        <v>12.224</v>
      </c>
      <c r="B2098" s="102" t="s">
        <v>56</v>
      </c>
      <c r="C2098" s="105">
        <v>189</v>
      </c>
      <c r="D2098" s="167" t="s">
        <v>1858</v>
      </c>
      <c r="E2098" s="104" t="s">
        <v>3875</v>
      </c>
      <c r="F2098" s="102" t="s">
        <v>219</v>
      </c>
      <c r="G2098" s="105">
        <v>1</v>
      </c>
      <c r="H2098" s="106"/>
      <c r="I2098" s="107">
        <v>18830.21</v>
      </c>
      <c r="J2098" s="192">
        <f t="shared" si="203"/>
        <v>21061.59</v>
      </c>
      <c r="K2098" s="193">
        <f t="shared" ref="K2098:K2115" si="204">ROUND(G2098*J2098,2)</f>
        <v>21061.59</v>
      </c>
      <c r="L2098" s="193"/>
      <c r="M2098" s="138"/>
      <c r="N2098" s="138"/>
      <c r="O2098" s="138"/>
      <c r="S2098" s="72"/>
      <c r="T2098" s="72"/>
      <c r="U2098" s="72"/>
      <c r="V2098" s="72"/>
    </row>
    <row r="2099" spans="1:22" s="63" customFormat="1" ht="45" x14ac:dyDescent="0.25">
      <c r="A2099" s="108">
        <v>12.225</v>
      </c>
      <c r="B2099" s="102" t="s">
        <v>56</v>
      </c>
      <c r="C2099" s="105">
        <v>190</v>
      </c>
      <c r="D2099" s="167" t="s">
        <v>1859</v>
      </c>
      <c r="E2099" s="104" t="s">
        <v>3876</v>
      </c>
      <c r="F2099" s="102" t="s">
        <v>219</v>
      </c>
      <c r="G2099" s="105">
        <v>4</v>
      </c>
      <c r="H2099" s="106"/>
      <c r="I2099" s="107">
        <v>27726.11</v>
      </c>
      <c r="J2099" s="192">
        <f t="shared" si="203"/>
        <v>7752.91</v>
      </c>
      <c r="K2099" s="193">
        <f t="shared" si="204"/>
        <v>31011.64</v>
      </c>
      <c r="L2099" s="193"/>
      <c r="M2099" s="138"/>
      <c r="N2099" s="138"/>
      <c r="O2099" s="138"/>
      <c r="S2099" s="72"/>
      <c r="T2099" s="72"/>
      <c r="U2099" s="72"/>
      <c r="V2099" s="72"/>
    </row>
    <row r="2100" spans="1:22" s="63" customFormat="1" ht="45" x14ac:dyDescent="0.25">
      <c r="A2100" s="108">
        <v>12.226000000000001</v>
      </c>
      <c r="B2100" s="102" t="s">
        <v>56</v>
      </c>
      <c r="C2100" s="105">
        <v>191</v>
      </c>
      <c r="D2100" s="167" t="s">
        <v>1860</v>
      </c>
      <c r="E2100" s="104" t="s">
        <v>3877</v>
      </c>
      <c r="F2100" s="102" t="s">
        <v>219</v>
      </c>
      <c r="G2100" s="105">
        <v>3</v>
      </c>
      <c r="H2100" s="106"/>
      <c r="I2100" s="107">
        <v>31876.5</v>
      </c>
      <c r="J2100" s="192">
        <f t="shared" si="203"/>
        <v>11884.62</v>
      </c>
      <c r="K2100" s="193">
        <f t="shared" si="204"/>
        <v>35653.86</v>
      </c>
      <c r="L2100" s="193"/>
      <c r="M2100" s="138"/>
      <c r="N2100" s="138"/>
      <c r="O2100" s="138"/>
      <c r="S2100" s="72"/>
      <c r="T2100" s="72"/>
      <c r="U2100" s="72"/>
      <c r="V2100" s="72"/>
    </row>
    <row r="2101" spans="1:22" s="63" customFormat="1" ht="45" x14ac:dyDescent="0.25">
      <c r="A2101" s="108">
        <v>12.227</v>
      </c>
      <c r="B2101" s="102" t="s">
        <v>56</v>
      </c>
      <c r="C2101" s="105">
        <v>192</v>
      </c>
      <c r="D2101" s="167" t="s">
        <v>1861</v>
      </c>
      <c r="E2101" s="104" t="s">
        <v>3878</v>
      </c>
      <c r="F2101" s="102" t="s">
        <v>219</v>
      </c>
      <c r="G2101" s="105">
        <v>2</v>
      </c>
      <c r="H2101" s="106"/>
      <c r="I2101" s="107">
        <v>17721.48</v>
      </c>
      <c r="J2101" s="192">
        <f t="shared" si="203"/>
        <v>9910.74</v>
      </c>
      <c r="K2101" s="193">
        <f t="shared" si="204"/>
        <v>19821.48</v>
      </c>
      <c r="L2101" s="193"/>
      <c r="M2101" s="138"/>
      <c r="N2101" s="138"/>
      <c r="O2101" s="138"/>
      <c r="S2101" s="72"/>
      <c r="T2101" s="72"/>
      <c r="U2101" s="72"/>
      <c r="V2101" s="72"/>
    </row>
    <row r="2102" spans="1:22" s="63" customFormat="1" ht="45" x14ac:dyDescent="0.25">
      <c r="A2102" s="108">
        <v>12.228</v>
      </c>
      <c r="B2102" s="102" t="s">
        <v>56</v>
      </c>
      <c r="C2102" s="105">
        <v>193</v>
      </c>
      <c r="D2102" s="167" t="s">
        <v>1862</v>
      </c>
      <c r="E2102" s="104" t="s">
        <v>3879</v>
      </c>
      <c r="F2102" s="102" t="s">
        <v>219</v>
      </c>
      <c r="G2102" s="105">
        <v>1</v>
      </c>
      <c r="H2102" s="106"/>
      <c r="I2102" s="107">
        <v>9814.27</v>
      </c>
      <c r="J2102" s="192">
        <f t="shared" si="203"/>
        <v>10977.26</v>
      </c>
      <c r="K2102" s="193">
        <f t="shared" si="204"/>
        <v>10977.26</v>
      </c>
      <c r="L2102" s="193"/>
      <c r="M2102" s="138"/>
      <c r="N2102" s="138"/>
      <c r="O2102" s="138"/>
      <c r="S2102" s="72"/>
      <c r="T2102" s="72"/>
      <c r="U2102" s="72"/>
      <c r="V2102" s="72"/>
    </row>
    <row r="2103" spans="1:22" s="63" customFormat="1" ht="45" x14ac:dyDescent="0.25">
      <c r="A2103" s="108">
        <v>12.228999999999999</v>
      </c>
      <c r="B2103" s="102" t="s">
        <v>56</v>
      </c>
      <c r="C2103" s="105">
        <v>194</v>
      </c>
      <c r="D2103" s="167" t="s">
        <v>1863</v>
      </c>
      <c r="E2103" s="104" t="s">
        <v>3880</v>
      </c>
      <c r="F2103" s="102" t="s">
        <v>219</v>
      </c>
      <c r="G2103" s="105">
        <v>3</v>
      </c>
      <c r="H2103" s="106"/>
      <c r="I2103" s="107">
        <v>20655.97</v>
      </c>
      <c r="J2103" s="192">
        <f t="shared" si="203"/>
        <v>7701.23</v>
      </c>
      <c r="K2103" s="193">
        <f t="shared" si="204"/>
        <v>23103.69</v>
      </c>
      <c r="L2103" s="193"/>
      <c r="M2103" s="138"/>
      <c r="N2103" s="138"/>
      <c r="O2103" s="138"/>
      <c r="S2103" s="72"/>
      <c r="T2103" s="72"/>
      <c r="U2103" s="72"/>
      <c r="V2103" s="72"/>
    </row>
    <row r="2104" spans="1:22" s="63" customFormat="1" ht="45" x14ac:dyDescent="0.25">
      <c r="A2104" s="108">
        <v>12.23</v>
      </c>
      <c r="B2104" s="102" t="s">
        <v>56</v>
      </c>
      <c r="C2104" s="105">
        <v>195</v>
      </c>
      <c r="D2104" s="167" t="s">
        <v>1864</v>
      </c>
      <c r="E2104" s="104" t="s">
        <v>3881</v>
      </c>
      <c r="F2104" s="102" t="s">
        <v>219</v>
      </c>
      <c r="G2104" s="105">
        <v>3</v>
      </c>
      <c r="H2104" s="106"/>
      <c r="I2104" s="107">
        <v>15600.09</v>
      </c>
      <c r="J2104" s="192">
        <f t="shared" si="203"/>
        <v>5816.23</v>
      </c>
      <c r="K2104" s="193">
        <f t="shared" si="204"/>
        <v>17448.689999999999</v>
      </c>
      <c r="L2104" s="193"/>
      <c r="M2104" s="138"/>
      <c r="N2104" s="138"/>
      <c r="O2104" s="138"/>
      <c r="S2104" s="72"/>
      <c r="T2104" s="72"/>
      <c r="U2104" s="72"/>
      <c r="V2104" s="72"/>
    </row>
    <row r="2105" spans="1:22" s="63" customFormat="1" ht="45" x14ac:dyDescent="0.25">
      <c r="A2105" s="108">
        <v>12.231</v>
      </c>
      <c r="B2105" s="102" t="s">
        <v>56</v>
      </c>
      <c r="C2105" s="105">
        <v>196</v>
      </c>
      <c r="D2105" s="167" t="s">
        <v>1865</v>
      </c>
      <c r="E2105" s="104" t="s">
        <v>3882</v>
      </c>
      <c r="F2105" s="102" t="s">
        <v>219</v>
      </c>
      <c r="G2105" s="105">
        <v>4</v>
      </c>
      <c r="H2105" s="106"/>
      <c r="I2105" s="107">
        <v>10651.38</v>
      </c>
      <c r="J2105" s="192">
        <f t="shared" si="203"/>
        <v>2978.39</v>
      </c>
      <c r="K2105" s="193">
        <f t="shared" si="204"/>
        <v>11913.56</v>
      </c>
      <c r="L2105" s="193"/>
      <c r="M2105" s="138"/>
      <c r="N2105" s="138"/>
      <c r="O2105" s="138"/>
      <c r="S2105" s="72"/>
      <c r="T2105" s="72"/>
      <c r="U2105" s="72"/>
      <c r="V2105" s="72"/>
    </row>
    <row r="2106" spans="1:22" s="63" customFormat="1" ht="45" x14ac:dyDescent="0.25">
      <c r="A2106" s="108">
        <v>12.231999999999999</v>
      </c>
      <c r="B2106" s="102" t="s">
        <v>56</v>
      </c>
      <c r="C2106" s="105">
        <v>197</v>
      </c>
      <c r="D2106" s="167" t="s">
        <v>1866</v>
      </c>
      <c r="E2106" s="104" t="s">
        <v>3883</v>
      </c>
      <c r="F2106" s="102" t="s">
        <v>219</v>
      </c>
      <c r="G2106" s="105">
        <v>2</v>
      </c>
      <c r="H2106" s="106"/>
      <c r="I2106" s="107">
        <v>2176.8200000000002</v>
      </c>
      <c r="J2106" s="192">
        <f t="shared" si="203"/>
        <v>1217.3900000000001</v>
      </c>
      <c r="K2106" s="193">
        <f t="shared" si="204"/>
        <v>2434.7800000000002</v>
      </c>
      <c r="L2106" s="193"/>
      <c r="M2106" s="138"/>
      <c r="N2106" s="138"/>
      <c r="O2106" s="138"/>
      <c r="S2106" s="72"/>
      <c r="T2106" s="72"/>
      <c r="U2106" s="72"/>
      <c r="V2106" s="72"/>
    </row>
    <row r="2107" spans="1:22" s="63" customFormat="1" ht="45" x14ac:dyDescent="0.25">
      <c r="A2107" s="108">
        <v>12.233000000000001</v>
      </c>
      <c r="B2107" s="102" t="s">
        <v>56</v>
      </c>
      <c r="C2107" s="105">
        <v>198</v>
      </c>
      <c r="D2107" s="167" t="s">
        <v>1867</v>
      </c>
      <c r="E2107" s="104" t="s">
        <v>3884</v>
      </c>
      <c r="F2107" s="102" t="s">
        <v>219</v>
      </c>
      <c r="G2107" s="105">
        <v>2</v>
      </c>
      <c r="H2107" s="106"/>
      <c r="I2107" s="107">
        <v>6090.73</v>
      </c>
      <c r="J2107" s="192">
        <f t="shared" si="203"/>
        <v>3406.24</v>
      </c>
      <c r="K2107" s="193">
        <f t="shared" si="204"/>
        <v>6812.48</v>
      </c>
      <c r="L2107" s="193"/>
      <c r="M2107" s="138"/>
      <c r="N2107" s="138"/>
      <c r="O2107" s="138"/>
      <c r="S2107" s="72"/>
      <c r="T2107" s="72"/>
      <c r="U2107" s="72"/>
      <c r="V2107" s="72"/>
    </row>
    <row r="2108" spans="1:22" s="63" customFormat="1" ht="45" x14ac:dyDescent="0.25">
      <c r="A2108" s="108">
        <v>12.234</v>
      </c>
      <c r="B2108" s="102" t="s">
        <v>56</v>
      </c>
      <c r="C2108" s="105">
        <v>199</v>
      </c>
      <c r="D2108" s="167" t="s">
        <v>1868</v>
      </c>
      <c r="E2108" s="104" t="s">
        <v>3885</v>
      </c>
      <c r="F2108" s="102" t="s">
        <v>219</v>
      </c>
      <c r="G2108" s="105">
        <v>3</v>
      </c>
      <c r="H2108" s="106"/>
      <c r="I2108" s="107">
        <v>16631.240000000002</v>
      </c>
      <c r="J2108" s="192">
        <f t="shared" si="203"/>
        <v>6200.68</v>
      </c>
      <c r="K2108" s="193">
        <f t="shared" si="204"/>
        <v>18602.04</v>
      </c>
      <c r="L2108" s="193"/>
      <c r="M2108" s="138"/>
      <c r="N2108" s="138"/>
      <c r="O2108" s="138"/>
      <c r="S2108" s="72"/>
      <c r="T2108" s="72"/>
      <c r="U2108" s="72"/>
      <c r="V2108" s="72"/>
    </row>
    <row r="2109" spans="1:22" s="63" customFormat="1" ht="45" x14ac:dyDescent="0.25">
      <c r="A2109" s="108">
        <v>12.234999999999999</v>
      </c>
      <c r="B2109" s="102" t="s">
        <v>56</v>
      </c>
      <c r="C2109" s="105">
        <v>200</v>
      </c>
      <c r="D2109" s="167" t="s">
        <v>1869</v>
      </c>
      <c r="E2109" s="104" t="s">
        <v>3886</v>
      </c>
      <c r="F2109" s="102" t="s">
        <v>219</v>
      </c>
      <c r="G2109" s="105">
        <v>1</v>
      </c>
      <c r="H2109" s="106"/>
      <c r="I2109" s="107">
        <v>11403.49</v>
      </c>
      <c r="J2109" s="192">
        <f t="shared" si="203"/>
        <v>12754.8</v>
      </c>
      <c r="K2109" s="193">
        <f t="shared" si="204"/>
        <v>12754.8</v>
      </c>
      <c r="L2109" s="193"/>
      <c r="M2109" s="138"/>
      <c r="N2109" s="138"/>
      <c r="O2109" s="138"/>
      <c r="S2109" s="72"/>
      <c r="T2109" s="72"/>
      <c r="U2109" s="72"/>
      <c r="V2109" s="72"/>
    </row>
    <row r="2110" spans="1:22" s="63" customFormat="1" ht="45" x14ac:dyDescent="0.25">
      <c r="A2110" s="108">
        <v>12.236000000000001</v>
      </c>
      <c r="B2110" s="102" t="s">
        <v>56</v>
      </c>
      <c r="C2110" s="105">
        <v>201</v>
      </c>
      <c r="D2110" s="167" t="s">
        <v>1870</v>
      </c>
      <c r="E2110" s="104" t="s">
        <v>3887</v>
      </c>
      <c r="F2110" s="102" t="s">
        <v>219</v>
      </c>
      <c r="G2110" s="105">
        <v>6</v>
      </c>
      <c r="H2110" s="106"/>
      <c r="I2110" s="107">
        <v>17185.599999999999</v>
      </c>
      <c r="J2110" s="192">
        <f t="shared" si="203"/>
        <v>3203.68</v>
      </c>
      <c r="K2110" s="193">
        <f t="shared" si="204"/>
        <v>19222.080000000002</v>
      </c>
      <c r="L2110" s="193"/>
      <c r="M2110" s="138"/>
      <c r="N2110" s="138"/>
      <c r="O2110" s="138"/>
      <c r="S2110" s="72"/>
      <c r="T2110" s="72"/>
      <c r="U2110" s="72"/>
      <c r="V2110" s="72"/>
    </row>
    <row r="2111" spans="1:22" s="63" customFormat="1" ht="45" x14ac:dyDescent="0.25">
      <c r="A2111" s="108">
        <v>12.237</v>
      </c>
      <c r="B2111" s="102" t="s">
        <v>56</v>
      </c>
      <c r="C2111" s="105">
        <v>202</v>
      </c>
      <c r="D2111" s="167" t="s">
        <v>1871</v>
      </c>
      <c r="E2111" s="104" t="s">
        <v>3888</v>
      </c>
      <c r="F2111" s="102" t="s">
        <v>219</v>
      </c>
      <c r="G2111" s="105">
        <v>12</v>
      </c>
      <c r="H2111" s="106"/>
      <c r="I2111" s="107">
        <v>354799.38</v>
      </c>
      <c r="J2111" s="192">
        <f t="shared" si="203"/>
        <v>33070.26</v>
      </c>
      <c r="K2111" s="193">
        <f t="shared" si="204"/>
        <v>396843.12</v>
      </c>
      <c r="L2111" s="193"/>
      <c r="M2111" s="138"/>
      <c r="N2111" s="138"/>
      <c r="O2111" s="138"/>
      <c r="S2111" s="72"/>
      <c r="T2111" s="72"/>
      <c r="U2111" s="72"/>
      <c r="V2111" s="72"/>
    </row>
    <row r="2112" spans="1:22" s="63" customFormat="1" ht="15" x14ac:dyDescent="0.25">
      <c r="A2112" s="108">
        <v>12.238</v>
      </c>
      <c r="B2112" s="102" t="s">
        <v>56</v>
      </c>
      <c r="C2112" s="105">
        <v>203</v>
      </c>
      <c r="D2112" s="167" t="s">
        <v>1872</v>
      </c>
      <c r="E2112" s="104" t="s">
        <v>3889</v>
      </c>
      <c r="F2112" s="102" t="s">
        <v>219</v>
      </c>
      <c r="G2112" s="105">
        <v>2</v>
      </c>
      <c r="H2112" s="106"/>
      <c r="I2112" s="107">
        <v>20722.48</v>
      </c>
      <c r="J2112" s="192">
        <f t="shared" si="203"/>
        <v>11589.05</v>
      </c>
      <c r="K2112" s="193">
        <f t="shared" si="204"/>
        <v>23178.1</v>
      </c>
      <c r="L2112" s="193"/>
      <c r="M2112" s="138"/>
      <c r="N2112" s="138"/>
      <c r="O2112" s="138"/>
      <c r="S2112" s="72"/>
      <c r="T2112" s="72"/>
      <c r="U2112" s="72"/>
      <c r="V2112" s="72"/>
    </row>
    <row r="2113" spans="1:22" s="63" customFormat="1" ht="45" x14ac:dyDescent="0.25">
      <c r="A2113" s="108">
        <v>12.239000000000001</v>
      </c>
      <c r="B2113" s="102" t="s">
        <v>56</v>
      </c>
      <c r="C2113" s="105">
        <v>204</v>
      </c>
      <c r="D2113" s="167" t="s">
        <v>1873</v>
      </c>
      <c r="E2113" s="104" t="s">
        <v>3890</v>
      </c>
      <c r="F2113" s="102" t="s">
        <v>219</v>
      </c>
      <c r="G2113" s="105">
        <v>80</v>
      </c>
      <c r="H2113" s="106"/>
      <c r="I2113" s="107">
        <v>118266.17</v>
      </c>
      <c r="J2113" s="192">
        <f t="shared" si="203"/>
        <v>1653.51</v>
      </c>
      <c r="K2113" s="193">
        <f t="shared" si="204"/>
        <v>132280.79999999999</v>
      </c>
      <c r="L2113" s="193"/>
      <c r="M2113" s="138"/>
      <c r="N2113" s="138"/>
      <c r="O2113" s="138"/>
      <c r="S2113" s="72"/>
      <c r="T2113" s="72"/>
      <c r="U2113" s="72"/>
      <c r="V2113" s="72"/>
    </row>
    <row r="2114" spans="1:22" s="63" customFormat="1" ht="45" x14ac:dyDescent="0.25">
      <c r="A2114" s="108">
        <v>12.24</v>
      </c>
      <c r="B2114" s="102" t="s">
        <v>56</v>
      </c>
      <c r="C2114" s="105">
        <v>205</v>
      </c>
      <c r="D2114" s="167" t="s">
        <v>1874</v>
      </c>
      <c r="E2114" s="104" t="s">
        <v>3891</v>
      </c>
      <c r="F2114" s="102" t="s">
        <v>219</v>
      </c>
      <c r="G2114" s="105">
        <v>7</v>
      </c>
      <c r="H2114" s="106"/>
      <c r="I2114" s="107">
        <v>2224.84</v>
      </c>
      <c r="J2114" s="192">
        <f t="shared" si="203"/>
        <v>355.5</v>
      </c>
      <c r="K2114" s="193">
        <f t="shared" si="204"/>
        <v>2488.5</v>
      </c>
      <c r="L2114" s="193"/>
      <c r="M2114" s="138"/>
      <c r="N2114" s="138"/>
      <c r="O2114" s="138"/>
      <c r="S2114" s="72"/>
      <c r="T2114" s="72"/>
      <c r="U2114" s="72"/>
      <c r="V2114" s="72"/>
    </row>
    <row r="2115" spans="1:22" s="63" customFormat="1" ht="22.5" x14ac:dyDescent="0.25">
      <c r="A2115" s="108">
        <v>12.241</v>
      </c>
      <c r="B2115" s="102" t="s">
        <v>56</v>
      </c>
      <c r="C2115" s="105">
        <v>206</v>
      </c>
      <c r="D2115" s="167" t="s">
        <v>1875</v>
      </c>
      <c r="E2115" s="104" t="s">
        <v>3892</v>
      </c>
      <c r="F2115" s="102" t="s">
        <v>219</v>
      </c>
      <c r="G2115" s="105">
        <v>26</v>
      </c>
      <c r="H2115" s="106"/>
      <c r="I2115" s="107">
        <v>63081.120000000003</v>
      </c>
      <c r="J2115" s="192">
        <f t="shared" si="203"/>
        <v>2713.7</v>
      </c>
      <c r="K2115" s="193">
        <f t="shared" si="204"/>
        <v>70556.2</v>
      </c>
      <c r="L2115" s="193"/>
      <c r="M2115" s="138"/>
      <c r="N2115" s="138"/>
      <c r="O2115" s="138"/>
      <c r="S2115" s="72"/>
      <c r="T2115" s="72"/>
      <c r="U2115" s="72"/>
      <c r="V2115" s="72"/>
    </row>
    <row r="2116" spans="1:22" s="63" customFormat="1" ht="15" x14ac:dyDescent="0.25">
      <c r="A2116" s="194">
        <v>13</v>
      </c>
      <c r="B2116" s="418" t="s">
        <v>1876</v>
      </c>
      <c r="C2116" s="418"/>
      <c r="D2116" s="418"/>
      <c r="E2116" s="195" t="s">
        <v>59</v>
      </c>
      <c r="F2116" s="196"/>
      <c r="G2116" s="194">
        <v>1</v>
      </c>
      <c r="H2116" s="197">
        <v>2921031.72</v>
      </c>
      <c r="I2116" s="355">
        <f>SUM(I2118:I2121)</f>
        <v>2921031.71</v>
      </c>
      <c r="J2116" s="200"/>
      <c r="K2116" s="198">
        <f>SUM(K2118:K2121)</f>
        <v>3280810.1</v>
      </c>
      <c r="L2116" s="198"/>
      <c r="M2116" s="207"/>
      <c r="N2116" s="209"/>
      <c r="O2116" s="138"/>
      <c r="S2116" s="72"/>
      <c r="T2116" s="72"/>
      <c r="U2116" s="72"/>
      <c r="V2116" s="72"/>
    </row>
    <row r="2117" spans="1:22" s="63" customFormat="1" ht="15" x14ac:dyDescent="0.25">
      <c r="A2117" s="91"/>
      <c r="B2117" s="92"/>
      <c r="C2117" s="92"/>
      <c r="D2117" s="166"/>
      <c r="E2117" s="93" t="s">
        <v>651</v>
      </c>
      <c r="F2117" s="94"/>
      <c r="G2117" s="91"/>
      <c r="H2117" s="95"/>
      <c r="I2117" s="96">
        <f>I2121</f>
        <v>2242613.08</v>
      </c>
      <c r="J2117" s="191"/>
      <c r="K2117" s="96">
        <f>K2121</f>
        <v>2508362.73</v>
      </c>
      <c r="L2117" s="96"/>
      <c r="M2117" s="207"/>
      <c r="N2117" s="209"/>
      <c r="O2117" s="138"/>
      <c r="S2117" s="72"/>
      <c r="T2117" s="72"/>
      <c r="U2117" s="72"/>
      <c r="V2117" s="72"/>
    </row>
    <row r="2118" spans="1:22" s="63" customFormat="1" ht="22.5" x14ac:dyDescent="0.25">
      <c r="A2118" s="80">
        <v>13.1</v>
      </c>
      <c r="B2118" s="81" t="s">
        <v>58</v>
      </c>
      <c r="C2118" s="82">
        <v>1</v>
      </c>
      <c r="D2118" s="131" t="s">
        <v>1877</v>
      </c>
      <c r="E2118" s="83" t="s">
        <v>1878</v>
      </c>
      <c r="F2118" s="81" t="s">
        <v>219</v>
      </c>
      <c r="G2118" s="82">
        <v>1</v>
      </c>
      <c r="H2118" s="85"/>
      <c r="I2118" s="86">
        <f>1725460.5-0.01</f>
        <v>1725460.49</v>
      </c>
      <c r="J2118" s="185">
        <f>ROUND($I2118/$G2118*$N$11,2)</f>
        <v>1964609.31</v>
      </c>
      <c r="K2118" s="189">
        <f>ROUND(G2118*J2118,2)</f>
        <v>1964609.31</v>
      </c>
      <c r="L2118" s="189"/>
      <c r="M2118" s="138"/>
      <c r="N2118" s="138"/>
      <c r="O2118" s="138"/>
      <c r="S2118" s="72"/>
      <c r="T2118" s="72"/>
      <c r="U2118" s="72"/>
      <c r="V2118" s="72"/>
    </row>
    <row r="2119" spans="1:22" s="63" customFormat="1" ht="22.5" x14ac:dyDescent="0.25">
      <c r="A2119" s="80">
        <v>13.2</v>
      </c>
      <c r="B2119" s="81" t="s">
        <v>58</v>
      </c>
      <c r="C2119" s="80">
        <v>1.1000000000000001</v>
      </c>
      <c r="D2119" s="131" t="s">
        <v>1879</v>
      </c>
      <c r="E2119" s="83" t="s">
        <v>1880</v>
      </c>
      <c r="F2119" s="81" t="s">
        <v>219</v>
      </c>
      <c r="G2119" s="82">
        <v>-10</v>
      </c>
      <c r="H2119" s="85"/>
      <c r="I2119" s="86">
        <v>-658836.93999999994</v>
      </c>
      <c r="J2119" s="185">
        <f>ROUND($I2119/$G2119*$N$11,2)</f>
        <v>75015.17</v>
      </c>
      <c r="K2119" s="189">
        <f>ROUND(G2119*J2119,2)</f>
        <v>-750151.7</v>
      </c>
      <c r="L2119" s="189"/>
      <c r="M2119" s="138"/>
      <c r="N2119" s="138"/>
      <c r="O2119" s="138"/>
      <c r="S2119" s="72"/>
      <c r="T2119" s="72"/>
      <c r="U2119" s="72"/>
      <c r="V2119" s="72"/>
    </row>
    <row r="2120" spans="1:22" s="63" customFormat="1" ht="33.75" x14ac:dyDescent="0.25">
      <c r="A2120" s="80">
        <v>13.3</v>
      </c>
      <c r="B2120" s="81" t="s">
        <v>58</v>
      </c>
      <c r="C2120" s="80">
        <v>1.2</v>
      </c>
      <c r="D2120" s="131" t="s">
        <v>1881</v>
      </c>
      <c r="E2120" s="83" t="s">
        <v>1882</v>
      </c>
      <c r="F2120" s="81" t="s">
        <v>334</v>
      </c>
      <c r="G2120" s="80">
        <v>-33.9</v>
      </c>
      <c r="H2120" s="85"/>
      <c r="I2120" s="86">
        <v>-388204.92</v>
      </c>
      <c r="J2120" s="185">
        <f>ROUND($I2120/$G2120*$N$11,2)</f>
        <v>13038.65</v>
      </c>
      <c r="K2120" s="189">
        <f>ROUND(G2120*J2120,2)</f>
        <v>-442010.24</v>
      </c>
      <c r="L2120" s="189"/>
      <c r="M2120" s="138"/>
      <c r="N2120" s="138"/>
      <c r="O2120" s="138"/>
      <c r="S2120" s="72"/>
      <c r="T2120" s="72"/>
      <c r="U2120" s="72"/>
      <c r="V2120" s="72"/>
    </row>
    <row r="2121" spans="1:22" s="63" customFormat="1" ht="33.75" x14ac:dyDescent="0.25">
      <c r="A2121" s="103">
        <v>13.4</v>
      </c>
      <c r="B2121" s="102" t="s">
        <v>58</v>
      </c>
      <c r="C2121" s="103">
        <v>1.3</v>
      </c>
      <c r="D2121" s="167" t="s">
        <v>1883</v>
      </c>
      <c r="E2121" s="104" t="s">
        <v>1884</v>
      </c>
      <c r="F2121" s="102" t="s">
        <v>1885</v>
      </c>
      <c r="G2121" s="105">
        <v>1</v>
      </c>
      <c r="H2121" s="106"/>
      <c r="I2121" s="107">
        <v>2242613.08</v>
      </c>
      <c r="J2121" s="192">
        <f>ROUND($I2121/$G2121*$N$12,2)</f>
        <v>2508362.73</v>
      </c>
      <c r="K2121" s="193">
        <f>ROUND(G2121*J2121,2)</f>
        <v>2508362.73</v>
      </c>
      <c r="L2121" s="193"/>
      <c r="M2121" s="138"/>
      <c r="N2121" s="138"/>
      <c r="O2121" s="138"/>
      <c r="S2121" s="72"/>
      <c r="T2121" s="72"/>
      <c r="U2121" s="72"/>
      <c r="V2121" s="72"/>
    </row>
    <row r="2122" spans="1:22" s="63" customFormat="1" ht="15" x14ac:dyDescent="0.25">
      <c r="A2122" s="194">
        <v>14</v>
      </c>
      <c r="B2122" s="418" t="s">
        <v>1886</v>
      </c>
      <c r="C2122" s="418"/>
      <c r="D2122" s="418"/>
      <c r="E2122" s="195" t="s">
        <v>157</v>
      </c>
      <c r="F2122" s="196"/>
      <c r="G2122" s="194">
        <v>1</v>
      </c>
      <c r="H2122" s="197">
        <v>9207559.3900000006</v>
      </c>
      <c r="I2122" s="355">
        <f>SUM(I2124:I2223)</f>
        <v>9207559.370000001</v>
      </c>
      <c r="J2122" s="200"/>
      <c r="K2122" s="198">
        <f>SUM(K2124:K2223)</f>
        <v>10483728.810000001</v>
      </c>
      <c r="L2122" s="198"/>
      <c r="M2122" s="207"/>
      <c r="N2122" s="209"/>
      <c r="O2122" s="138"/>
      <c r="S2122" s="72"/>
      <c r="T2122" s="72"/>
      <c r="U2122" s="72"/>
      <c r="V2122" s="72"/>
    </row>
    <row r="2123" spans="1:22" s="224" customFormat="1" ht="15" x14ac:dyDescent="0.25">
      <c r="A2123" s="216"/>
      <c r="B2123" s="217"/>
      <c r="C2123" s="217"/>
      <c r="D2123" s="217"/>
      <c r="E2123" s="218" t="s">
        <v>3327</v>
      </c>
      <c r="F2123" s="219"/>
      <c r="G2123" s="216"/>
      <c r="H2123" s="220"/>
      <c r="I2123" s="221"/>
      <c r="J2123" s="244"/>
      <c r="K2123" s="221"/>
      <c r="L2123" s="221"/>
      <c r="M2123" s="222"/>
      <c r="N2123" s="223"/>
      <c r="O2123" s="245"/>
      <c r="S2123" s="225"/>
      <c r="T2123" s="225"/>
      <c r="U2123" s="225"/>
      <c r="V2123" s="225"/>
    </row>
    <row r="2124" spans="1:22" s="63" customFormat="1" ht="33.75" x14ac:dyDescent="0.25">
      <c r="A2124" s="80">
        <v>14.1</v>
      </c>
      <c r="B2124" s="81" t="s">
        <v>60</v>
      </c>
      <c r="C2124" s="82">
        <v>1</v>
      </c>
      <c r="D2124" s="131" t="s">
        <v>579</v>
      </c>
      <c r="E2124" s="83" t="s">
        <v>1887</v>
      </c>
      <c r="F2124" s="81" t="s">
        <v>207</v>
      </c>
      <c r="G2124" s="87">
        <v>11.69</v>
      </c>
      <c r="H2124" s="85"/>
      <c r="I2124" s="86">
        <f>2633026.22-0.02</f>
        <v>2633026.2000000002</v>
      </c>
      <c r="J2124" s="185">
        <f t="shared" ref="J2124:J2147" si="205">ROUND($I2124/$G2124*$N$11,2)</f>
        <v>256455.4</v>
      </c>
      <c r="K2124" s="189">
        <f t="shared" ref="K2124:K2147" si="206">ROUND(G2124*J2124,2)</f>
        <v>2997963.63</v>
      </c>
      <c r="L2124" s="189"/>
      <c r="M2124" s="138"/>
      <c r="N2124" s="138"/>
      <c r="O2124" s="138"/>
      <c r="S2124" s="72"/>
      <c r="T2124" s="72"/>
      <c r="U2124" s="72"/>
      <c r="V2124" s="72"/>
    </row>
    <row r="2125" spans="1:22" s="63" customFormat="1" ht="22.5" x14ac:dyDescent="0.25">
      <c r="A2125" s="80">
        <v>14.2</v>
      </c>
      <c r="B2125" s="81" t="s">
        <v>60</v>
      </c>
      <c r="C2125" s="80">
        <v>1.1000000000000001</v>
      </c>
      <c r="D2125" s="131" t="s">
        <v>1888</v>
      </c>
      <c r="E2125" s="83" t="s">
        <v>3468</v>
      </c>
      <c r="F2125" s="81" t="s">
        <v>370</v>
      </c>
      <c r="G2125" s="80">
        <v>319.3</v>
      </c>
      <c r="H2125" s="85"/>
      <c r="I2125" s="86">
        <v>625610.21</v>
      </c>
      <c r="J2125" s="185">
        <f t="shared" si="205"/>
        <v>2230.88</v>
      </c>
      <c r="K2125" s="189">
        <f t="shared" si="206"/>
        <v>712319.98</v>
      </c>
      <c r="L2125" s="189"/>
      <c r="M2125" s="138"/>
      <c r="N2125" s="138"/>
      <c r="O2125" s="138"/>
      <c r="S2125" s="72"/>
      <c r="T2125" s="72"/>
      <c r="U2125" s="72"/>
      <c r="V2125" s="72"/>
    </row>
    <row r="2126" spans="1:22" s="63" customFormat="1" ht="22.5" x14ac:dyDescent="0.25">
      <c r="A2126" s="80">
        <v>14.3</v>
      </c>
      <c r="B2126" s="81" t="s">
        <v>60</v>
      </c>
      <c r="C2126" s="80">
        <v>1.2</v>
      </c>
      <c r="D2126" s="131" t="s">
        <v>1888</v>
      </c>
      <c r="E2126" s="83" t="s">
        <v>3893</v>
      </c>
      <c r="F2126" s="81" t="s">
        <v>370</v>
      </c>
      <c r="G2126" s="87">
        <v>276.04000000000002</v>
      </c>
      <c r="H2126" s="85"/>
      <c r="I2126" s="86">
        <v>540850.16</v>
      </c>
      <c r="J2126" s="185">
        <f t="shared" si="205"/>
        <v>2230.88</v>
      </c>
      <c r="K2126" s="189">
        <f t="shared" si="206"/>
        <v>615812.12</v>
      </c>
      <c r="L2126" s="189"/>
      <c r="M2126" s="138"/>
      <c r="N2126" s="138"/>
      <c r="O2126" s="138"/>
      <c r="S2126" s="72"/>
      <c r="T2126" s="72"/>
      <c r="U2126" s="72"/>
      <c r="V2126" s="72"/>
    </row>
    <row r="2127" spans="1:22" s="63" customFormat="1" ht="22.5" x14ac:dyDescent="0.25">
      <c r="A2127" s="80">
        <v>14.4</v>
      </c>
      <c r="B2127" s="81" t="s">
        <v>60</v>
      </c>
      <c r="C2127" s="80">
        <v>1.3</v>
      </c>
      <c r="D2127" s="131" t="s">
        <v>1889</v>
      </c>
      <c r="E2127" s="83" t="s">
        <v>3894</v>
      </c>
      <c r="F2127" s="81" t="s">
        <v>370</v>
      </c>
      <c r="G2127" s="87">
        <v>147.29</v>
      </c>
      <c r="H2127" s="85"/>
      <c r="I2127" s="86">
        <v>344753.57</v>
      </c>
      <c r="J2127" s="185">
        <f t="shared" si="205"/>
        <v>2665.06</v>
      </c>
      <c r="K2127" s="189">
        <f t="shared" si="206"/>
        <v>392536.69</v>
      </c>
      <c r="L2127" s="189"/>
      <c r="M2127" s="138"/>
      <c r="N2127" s="138"/>
      <c r="O2127" s="138"/>
      <c r="S2127" s="72"/>
      <c r="T2127" s="72"/>
      <c r="U2127" s="72"/>
      <c r="V2127" s="72"/>
    </row>
    <row r="2128" spans="1:22" s="63" customFormat="1" ht="22.5" x14ac:dyDescent="0.25">
      <c r="A2128" s="80">
        <v>14.5</v>
      </c>
      <c r="B2128" s="81" t="s">
        <v>60</v>
      </c>
      <c r="C2128" s="80">
        <v>1.4</v>
      </c>
      <c r="D2128" s="131" t="s">
        <v>1888</v>
      </c>
      <c r="E2128" s="83" t="s">
        <v>3895</v>
      </c>
      <c r="F2128" s="81" t="s">
        <v>370</v>
      </c>
      <c r="G2128" s="87">
        <v>193.64</v>
      </c>
      <c r="H2128" s="85"/>
      <c r="I2128" s="86">
        <v>379402.35</v>
      </c>
      <c r="J2128" s="185">
        <f t="shared" si="205"/>
        <v>2230.88</v>
      </c>
      <c r="K2128" s="189">
        <f t="shared" si="206"/>
        <v>431987.6</v>
      </c>
      <c r="L2128" s="189"/>
      <c r="M2128" s="138"/>
      <c r="N2128" s="138"/>
      <c r="O2128" s="138"/>
      <c r="S2128" s="72"/>
      <c r="T2128" s="72"/>
      <c r="U2128" s="72"/>
      <c r="V2128" s="72"/>
    </row>
    <row r="2129" spans="1:22" s="63" customFormat="1" ht="22.5" x14ac:dyDescent="0.25">
      <c r="A2129" s="80">
        <v>14.6</v>
      </c>
      <c r="B2129" s="81" t="s">
        <v>60</v>
      </c>
      <c r="C2129" s="80">
        <v>1.5</v>
      </c>
      <c r="D2129" s="131" t="s">
        <v>1889</v>
      </c>
      <c r="E2129" s="83" t="s">
        <v>3896</v>
      </c>
      <c r="F2129" s="81" t="s">
        <v>370</v>
      </c>
      <c r="G2129" s="84">
        <v>106.81100000000001</v>
      </c>
      <c r="H2129" s="85"/>
      <c r="I2129" s="86">
        <v>250006.63</v>
      </c>
      <c r="J2129" s="185">
        <f t="shared" si="205"/>
        <v>2665.06</v>
      </c>
      <c r="K2129" s="189">
        <f t="shared" si="206"/>
        <v>284657.71999999997</v>
      </c>
      <c r="L2129" s="189"/>
      <c r="M2129" s="138"/>
      <c r="N2129" s="138"/>
      <c r="O2129" s="138"/>
      <c r="S2129" s="72"/>
      <c r="T2129" s="72"/>
      <c r="U2129" s="72"/>
      <c r="V2129" s="72"/>
    </row>
    <row r="2130" spans="1:22" s="63" customFormat="1" ht="22.5" x14ac:dyDescent="0.25">
      <c r="A2130" s="80">
        <v>14.7</v>
      </c>
      <c r="B2130" s="81" t="s">
        <v>60</v>
      </c>
      <c r="C2130" s="80">
        <v>1.6</v>
      </c>
      <c r="D2130" s="131" t="s">
        <v>1889</v>
      </c>
      <c r="E2130" s="83" t="s">
        <v>3897</v>
      </c>
      <c r="F2130" s="81" t="s">
        <v>370</v>
      </c>
      <c r="G2130" s="84">
        <v>85.799000000000007</v>
      </c>
      <c r="H2130" s="85"/>
      <c r="I2130" s="86">
        <v>200825.02</v>
      </c>
      <c r="J2130" s="185">
        <f t="shared" si="205"/>
        <v>2665.06</v>
      </c>
      <c r="K2130" s="189">
        <f t="shared" si="206"/>
        <v>228659.48</v>
      </c>
      <c r="L2130" s="189"/>
      <c r="M2130" s="138"/>
      <c r="N2130" s="138"/>
      <c r="O2130" s="138"/>
      <c r="S2130" s="72"/>
      <c r="T2130" s="72"/>
      <c r="U2130" s="72"/>
      <c r="V2130" s="72"/>
    </row>
    <row r="2131" spans="1:22" s="63" customFormat="1" ht="22.5" x14ac:dyDescent="0.25">
      <c r="A2131" s="80">
        <v>14.8</v>
      </c>
      <c r="B2131" s="81" t="s">
        <v>60</v>
      </c>
      <c r="C2131" s="80">
        <v>1.7</v>
      </c>
      <c r="D2131" s="131" t="s">
        <v>1889</v>
      </c>
      <c r="E2131" s="83" t="s">
        <v>3898</v>
      </c>
      <c r="F2131" s="81" t="s">
        <v>370</v>
      </c>
      <c r="G2131" s="87">
        <v>75.19</v>
      </c>
      <c r="H2131" s="85"/>
      <c r="I2131" s="86">
        <v>175993.08</v>
      </c>
      <c r="J2131" s="185">
        <f t="shared" si="205"/>
        <v>2665.06</v>
      </c>
      <c r="K2131" s="189">
        <f t="shared" si="206"/>
        <v>200385.86</v>
      </c>
      <c r="L2131" s="189"/>
      <c r="M2131" s="138"/>
      <c r="N2131" s="138"/>
      <c r="O2131" s="138"/>
      <c r="S2131" s="72"/>
      <c r="T2131" s="72"/>
      <c r="U2131" s="72"/>
      <c r="V2131" s="72"/>
    </row>
    <row r="2132" spans="1:22" s="63" customFormat="1" ht="22.5" x14ac:dyDescent="0.25">
      <c r="A2132" s="80">
        <v>14.9</v>
      </c>
      <c r="B2132" s="81" t="s">
        <v>60</v>
      </c>
      <c r="C2132" s="80">
        <v>1.8</v>
      </c>
      <c r="D2132" s="131" t="s">
        <v>1890</v>
      </c>
      <c r="E2132" s="83" t="s">
        <v>1891</v>
      </c>
      <c r="F2132" s="81" t="s">
        <v>205</v>
      </c>
      <c r="G2132" s="87">
        <v>58.45</v>
      </c>
      <c r="H2132" s="85"/>
      <c r="I2132" s="86">
        <v>372657.46</v>
      </c>
      <c r="J2132" s="185">
        <f t="shared" si="205"/>
        <v>7259.33</v>
      </c>
      <c r="K2132" s="189">
        <f t="shared" si="206"/>
        <v>424307.84</v>
      </c>
      <c r="L2132" s="189"/>
      <c r="M2132" s="138"/>
      <c r="N2132" s="138"/>
      <c r="O2132" s="138"/>
      <c r="S2132" s="72"/>
      <c r="T2132" s="72"/>
      <c r="U2132" s="72"/>
      <c r="V2132" s="72"/>
    </row>
    <row r="2133" spans="1:22" s="63" customFormat="1" ht="22.5" x14ac:dyDescent="0.25">
      <c r="A2133" s="87">
        <v>14.1</v>
      </c>
      <c r="B2133" s="81" t="s">
        <v>60</v>
      </c>
      <c r="C2133" s="82">
        <v>2</v>
      </c>
      <c r="D2133" s="131" t="s">
        <v>1892</v>
      </c>
      <c r="E2133" s="83" t="s">
        <v>1893</v>
      </c>
      <c r="F2133" s="81" t="s">
        <v>205</v>
      </c>
      <c r="G2133" s="84">
        <v>6.4450000000000003</v>
      </c>
      <c r="H2133" s="85"/>
      <c r="I2133" s="86">
        <v>74434.95</v>
      </c>
      <c r="J2133" s="185">
        <f t="shared" si="205"/>
        <v>13149.98</v>
      </c>
      <c r="K2133" s="189">
        <f t="shared" si="206"/>
        <v>84751.62</v>
      </c>
      <c r="L2133" s="189"/>
      <c r="M2133" s="138"/>
      <c r="N2133" s="138"/>
      <c r="O2133" s="138"/>
      <c r="S2133" s="72"/>
      <c r="T2133" s="72"/>
      <c r="U2133" s="72"/>
      <c r="V2133" s="72"/>
    </row>
    <row r="2134" spans="1:22" s="63" customFormat="1" ht="22.5" x14ac:dyDescent="0.25">
      <c r="A2134" s="87">
        <v>14.11</v>
      </c>
      <c r="B2134" s="81" t="s">
        <v>60</v>
      </c>
      <c r="C2134" s="80">
        <v>2.1</v>
      </c>
      <c r="D2134" s="131" t="s">
        <v>1890</v>
      </c>
      <c r="E2134" s="83" t="s">
        <v>1891</v>
      </c>
      <c r="F2134" s="81" t="s">
        <v>205</v>
      </c>
      <c r="G2134" s="88">
        <v>6.5739000000000001</v>
      </c>
      <c r="H2134" s="85"/>
      <c r="I2134" s="86">
        <v>41912.980000000003</v>
      </c>
      <c r="J2134" s="185">
        <f t="shared" si="205"/>
        <v>7259.33</v>
      </c>
      <c r="K2134" s="189">
        <f t="shared" si="206"/>
        <v>47722.11</v>
      </c>
      <c r="L2134" s="189"/>
      <c r="M2134" s="138"/>
      <c r="N2134" s="138"/>
      <c r="O2134" s="138"/>
      <c r="S2134" s="72"/>
      <c r="T2134" s="72"/>
      <c r="U2134" s="72"/>
      <c r="V2134" s="72"/>
    </row>
    <row r="2135" spans="1:22" s="63" customFormat="1" ht="33.75" x14ac:dyDescent="0.25">
      <c r="A2135" s="87">
        <v>14.12</v>
      </c>
      <c r="B2135" s="81" t="s">
        <v>60</v>
      </c>
      <c r="C2135" s="82">
        <v>3</v>
      </c>
      <c r="D2135" s="131" t="s">
        <v>1894</v>
      </c>
      <c r="E2135" s="83" t="s">
        <v>1895</v>
      </c>
      <c r="F2135" s="81" t="s">
        <v>370</v>
      </c>
      <c r="G2135" s="82">
        <v>190</v>
      </c>
      <c r="H2135" s="85"/>
      <c r="I2135" s="86">
        <v>608343.05000000005</v>
      </c>
      <c r="J2135" s="185">
        <f t="shared" si="205"/>
        <v>3645.58</v>
      </c>
      <c r="K2135" s="189">
        <f t="shared" si="206"/>
        <v>692660.2</v>
      </c>
      <c r="L2135" s="189"/>
      <c r="M2135" s="138"/>
      <c r="N2135" s="138"/>
      <c r="O2135" s="138"/>
      <c r="S2135" s="72"/>
      <c r="T2135" s="72"/>
      <c r="U2135" s="72"/>
      <c r="V2135" s="72"/>
    </row>
    <row r="2136" spans="1:22" s="63" customFormat="1" ht="22.5" x14ac:dyDescent="0.25">
      <c r="A2136" s="87">
        <v>14.13</v>
      </c>
      <c r="B2136" s="81" t="s">
        <v>60</v>
      </c>
      <c r="C2136" s="80">
        <v>3.1</v>
      </c>
      <c r="D2136" s="131" t="s">
        <v>1896</v>
      </c>
      <c r="E2136" s="83" t="s">
        <v>1897</v>
      </c>
      <c r="F2136" s="81" t="s">
        <v>1898</v>
      </c>
      <c r="G2136" s="80">
        <v>-125.4</v>
      </c>
      <c r="H2136" s="85"/>
      <c r="I2136" s="86">
        <v>-33451.14</v>
      </c>
      <c r="J2136" s="185">
        <f t="shared" si="205"/>
        <v>303.73</v>
      </c>
      <c r="K2136" s="189">
        <f t="shared" si="206"/>
        <v>-38087.74</v>
      </c>
      <c r="L2136" s="189"/>
      <c r="M2136" s="138"/>
      <c r="N2136" s="138"/>
      <c r="O2136" s="138"/>
      <c r="S2136" s="72"/>
      <c r="T2136" s="72"/>
      <c r="U2136" s="72"/>
      <c r="V2136" s="72"/>
    </row>
    <row r="2137" spans="1:22" s="63" customFormat="1" ht="22.5" x14ac:dyDescent="0.25">
      <c r="A2137" s="87">
        <v>14.14</v>
      </c>
      <c r="B2137" s="81" t="s">
        <v>60</v>
      </c>
      <c r="C2137" s="80">
        <v>3.2</v>
      </c>
      <c r="D2137" s="131" t="s">
        <v>1899</v>
      </c>
      <c r="E2137" s="83" t="s">
        <v>1900</v>
      </c>
      <c r="F2137" s="81" t="s">
        <v>1898</v>
      </c>
      <c r="G2137" s="82">
        <v>-399</v>
      </c>
      <c r="H2137" s="85"/>
      <c r="I2137" s="86">
        <v>-154125.72</v>
      </c>
      <c r="J2137" s="185">
        <f t="shared" si="205"/>
        <v>439.82</v>
      </c>
      <c r="K2137" s="189">
        <f t="shared" si="206"/>
        <v>-175488.18</v>
      </c>
      <c r="L2137" s="189"/>
      <c r="M2137" s="138"/>
      <c r="N2137" s="138"/>
      <c r="O2137" s="138"/>
      <c r="S2137" s="72"/>
      <c r="T2137" s="72"/>
      <c r="U2137" s="72"/>
      <c r="V2137" s="72"/>
    </row>
    <row r="2138" spans="1:22" s="63" customFormat="1" ht="22.5" x14ac:dyDescent="0.25">
      <c r="A2138" s="87">
        <v>14.15</v>
      </c>
      <c r="B2138" s="81" t="s">
        <v>60</v>
      </c>
      <c r="C2138" s="80">
        <v>3.3</v>
      </c>
      <c r="D2138" s="131" t="s">
        <v>1901</v>
      </c>
      <c r="E2138" s="83" t="s">
        <v>1902</v>
      </c>
      <c r="F2138" s="81" t="s">
        <v>1898</v>
      </c>
      <c r="G2138" s="82">
        <v>-399</v>
      </c>
      <c r="H2138" s="85"/>
      <c r="I2138" s="86">
        <v>-135595.20000000001</v>
      </c>
      <c r="J2138" s="185">
        <f t="shared" si="205"/>
        <v>386.94</v>
      </c>
      <c r="K2138" s="189">
        <f t="shared" si="206"/>
        <v>-154389.06</v>
      </c>
      <c r="L2138" s="189"/>
      <c r="M2138" s="138"/>
      <c r="N2138" s="138"/>
      <c r="O2138" s="138"/>
      <c r="S2138" s="72"/>
      <c r="T2138" s="72"/>
      <c r="U2138" s="72"/>
      <c r="V2138" s="72"/>
    </row>
    <row r="2139" spans="1:22" s="63" customFormat="1" ht="33.75" x14ac:dyDescent="0.25">
      <c r="A2139" s="87">
        <v>14.16</v>
      </c>
      <c r="B2139" s="81" t="s">
        <v>60</v>
      </c>
      <c r="C2139" s="82">
        <v>4</v>
      </c>
      <c r="D2139" s="131" t="s">
        <v>1903</v>
      </c>
      <c r="E2139" s="83" t="s">
        <v>1904</v>
      </c>
      <c r="F2139" s="81" t="s">
        <v>370</v>
      </c>
      <c r="G2139" s="80">
        <v>44.4</v>
      </c>
      <c r="H2139" s="85"/>
      <c r="I2139" s="86">
        <v>150841.21</v>
      </c>
      <c r="J2139" s="185">
        <f t="shared" si="205"/>
        <v>3868.19</v>
      </c>
      <c r="K2139" s="189">
        <f t="shared" si="206"/>
        <v>171747.64</v>
      </c>
      <c r="L2139" s="189"/>
      <c r="M2139" s="138"/>
      <c r="N2139" s="138"/>
      <c r="O2139" s="138"/>
      <c r="S2139" s="72"/>
      <c r="T2139" s="72"/>
      <c r="U2139" s="72"/>
      <c r="V2139" s="72"/>
    </row>
    <row r="2140" spans="1:22" s="63" customFormat="1" ht="22.5" x14ac:dyDescent="0.25">
      <c r="A2140" s="87">
        <v>14.17</v>
      </c>
      <c r="B2140" s="81" t="s">
        <v>60</v>
      </c>
      <c r="C2140" s="80">
        <v>4.0999999999999996</v>
      </c>
      <c r="D2140" s="131" t="s">
        <v>1899</v>
      </c>
      <c r="E2140" s="83" t="s">
        <v>1900</v>
      </c>
      <c r="F2140" s="81" t="s">
        <v>1898</v>
      </c>
      <c r="G2140" s="87">
        <v>-97.68</v>
      </c>
      <c r="H2140" s="85"/>
      <c r="I2140" s="86">
        <v>-37731.83</v>
      </c>
      <c r="J2140" s="185">
        <f t="shared" si="205"/>
        <v>439.82</v>
      </c>
      <c r="K2140" s="189">
        <f t="shared" si="206"/>
        <v>-42961.62</v>
      </c>
      <c r="L2140" s="189"/>
      <c r="M2140" s="138"/>
      <c r="N2140" s="138"/>
      <c r="O2140" s="138"/>
      <c r="S2140" s="72"/>
      <c r="T2140" s="72"/>
      <c r="U2140" s="72"/>
      <c r="V2140" s="72"/>
    </row>
    <row r="2141" spans="1:22" s="63" customFormat="1" ht="22.5" x14ac:dyDescent="0.25">
      <c r="A2141" s="87">
        <v>14.18</v>
      </c>
      <c r="B2141" s="81" t="s">
        <v>60</v>
      </c>
      <c r="C2141" s="80">
        <v>4.2</v>
      </c>
      <c r="D2141" s="131" t="s">
        <v>1905</v>
      </c>
      <c r="E2141" s="83" t="s">
        <v>1906</v>
      </c>
      <c r="F2141" s="81" t="s">
        <v>1898</v>
      </c>
      <c r="G2141" s="84">
        <v>-20.423999999999999</v>
      </c>
      <c r="H2141" s="85"/>
      <c r="I2141" s="86">
        <v>-6837.42</v>
      </c>
      <c r="J2141" s="185">
        <f t="shared" si="205"/>
        <v>381.17</v>
      </c>
      <c r="K2141" s="189">
        <f t="shared" si="206"/>
        <v>-7785.02</v>
      </c>
      <c r="L2141" s="189"/>
      <c r="M2141" s="138"/>
      <c r="N2141" s="138"/>
      <c r="O2141" s="138"/>
      <c r="S2141" s="72"/>
      <c r="T2141" s="72"/>
      <c r="U2141" s="72"/>
      <c r="V2141" s="72"/>
    </row>
    <row r="2142" spans="1:22" s="63" customFormat="1" ht="22.5" x14ac:dyDescent="0.25">
      <c r="A2142" s="87">
        <v>14.19</v>
      </c>
      <c r="B2142" s="81" t="s">
        <v>60</v>
      </c>
      <c r="C2142" s="80">
        <v>4.3</v>
      </c>
      <c r="D2142" s="131" t="s">
        <v>1901</v>
      </c>
      <c r="E2142" s="83" t="s">
        <v>1902</v>
      </c>
      <c r="F2142" s="81" t="s">
        <v>1898</v>
      </c>
      <c r="G2142" s="87">
        <v>-97.68</v>
      </c>
      <c r="H2142" s="85"/>
      <c r="I2142" s="86">
        <v>-33195.300000000003</v>
      </c>
      <c r="J2142" s="185">
        <f t="shared" si="205"/>
        <v>386.94</v>
      </c>
      <c r="K2142" s="189">
        <f t="shared" si="206"/>
        <v>-37796.300000000003</v>
      </c>
      <c r="L2142" s="189"/>
      <c r="M2142" s="138"/>
      <c r="N2142" s="138"/>
      <c r="O2142" s="138"/>
      <c r="S2142" s="72"/>
      <c r="T2142" s="72"/>
      <c r="U2142" s="72"/>
      <c r="V2142" s="72"/>
    </row>
    <row r="2143" spans="1:22" s="63" customFormat="1" ht="22.5" x14ac:dyDescent="0.25">
      <c r="A2143" s="87">
        <v>14.2</v>
      </c>
      <c r="B2143" s="81" t="s">
        <v>60</v>
      </c>
      <c r="C2143" s="80">
        <v>4.4000000000000004</v>
      </c>
      <c r="D2143" s="131" t="s">
        <v>1907</v>
      </c>
      <c r="E2143" s="83" t="s">
        <v>3899</v>
      </c>
      <c r="F2143" s="81" t="s">
        <v>370</v>
      </c>
      <c r="G2143" s="84">
        <v>200.232</v>
      </c>
      <c r="H2143" s="85"/>
      <c r="I2143" s="86">
        <v>242418.67</v>
      </c>
      <c r="J2143" s="185">
        <f t="shared" si="205"/>
        <v>1378.49</v>
      </c>
      <c r="K2143" s="189">
        <f t="shared" si="206"/>
        <v>276017.81</v>
      </c>
      <c r="L2143" s="189"/>
      <c r="M2143" s="138"/>
      <c r="N2143" s="138"/>
      <c r="O2143" s="138"/>
      <c r="S2143" s="72"/>
      <c r="T2143" s="72"/>
      <c r="U2143" s="72"/>
      <c r="V2143" s="72"/>
    </row>
    <row r="2144" spans="1:22" s="63" customFormat="1" ht="22.5" x14ac:dyDescent="0.25">
      <c r="A2144" s="87">
        <v>14.21</v>
      </c>
      <c r="B2144" s="81" t="s">
        <v>60</v>
      </c>
      <c r="C2144" s="80">
        <v>4.5</v>
      </c>
      <c r="D2144" s="131" t="s">
        <v>1907</v>
      </c>
      <c r="E2144" s="83" t="s">
        <v>3900</v>
      </c>
      <c r="F2144" s="81" t="s">
        <v>370</v>
      </c>
      <c r="G2144" s="80">
        <v>41.2</v>
      </c>
      <c r="H2144" s="85"/>
      <c r="I2144" s="86">
        <v>49880.38</v>
      </c>
      <c r="J2144" s="185">
        <f t="shared" si="205"/>
        <v>1378.49</v>
      </c>
      <c r="K2144" s="189">
        <f t="shared" si="206"/>
        <v>56793.79</v>
      </c>
      <c r="L2144" s="189"/>
      <c r="M2144" s="138"/>
      <c r="N2144" s="138"/>
      <c r="O2144" s="138"/>
      <c r="S2144" s="72"/>
      <c r="T2144" s="72"/>
      <c r="U2144" s="72"/>
      <c r="V2144" s="72"/>
    </row>
    <row r="2145" spans="1:22" s="63" customFormat="1" ht="22.5" x14ac:dyDescent="0.25">
      <c r="A2145" s="87">
        <v>14.22</v>
      </c>
      <c r="B2145" s="81" t="s">
        <v>60</v>
      </c>
      <c r="C2145" s="80">
        <v>4.5999999999999996</v>
      </c>
      <c r="D2145" s="131" t="s">
        <v>1908</v>
      </c>
      <c r="E2145" s="83" t="s">
        <v>3901</v>
      </c>
      <c r="F2145" s="81" t="s">
        <v>370</v>
      </c>
      <c r="G2145" s="82">
        <v>1169</v>
      </c>
      <c r="H2145" s="85"/>
      <c r="I2145" s="86">
        <v>905231.02</v>
      </c>
      <c r="J2145" s="185">
        <f t="shared" si="205"/>
        <v>881.69</v>
      </c>
      <c r="K2145" s="189">
        <f t="shared" si="206"/>
        <v>1030695.61</v>
      </c>
      <c r="L2145" s="189"/>
      <c r="M2145" s="138"/>
      <c r="N2145" s="138"/>
      <c r="O2145" s="138"/>
      <c r="S2145" s="72"/>
      <c r="T2145" s="72"/>
      <c r="U2145" s="72"/>
      <c r="V2145" s="72"/>
    </row>
    <row r="2146" spans="1:22" s="63" customFormat="1" ht="22.5" x14ac:dyDescent="0.25">
      <c r="A2146" s="87">
        <v>14.23</v>
      </c>
      <c r="B2146" s="81" t="s">
        <v>60</v>
      </c>
      <c r="C2146" s="80">
        <v>4.7</v>
      </c>
      <c r="D2146" s="131" t="s">
        <v>1909</v>
      </c>
      <c r="E2146" s="83" t="s">
        <v>3903</v>
      </c>
      <c r="F2146" s="81" t="s">
        <v>370</v>
      </c>
      <c r="G2146" s="80">
        <v>234.4</v>
      </c>
      <c r="H2146" s="85"/>
      <c r="I2146" s="86">
        <v>78863.19</v>
      </c>
      <c r="J2146" s="185">
        <f t="shared" si="205"/>
        <v>383.08</v>
      </c>
      <c r="K2146" s="189">
        <f t="shared" si="206"/>
        <v>89793.95</v>
      </c>
      <c r="L2146" s="189"/>
      <c r="M2146" s="138"/>
      <c r="N2146" s="138"/>
      <c r="O2146" s="138"/>
      <c r="S2146" s="72"/>
      <c r="T2146" s="72"/>
      <c r="U2146" s="72"/>
      <c r="V2146" s="72"/>
    </row>
    <row r="2147" spans="1:22" s="63" customFormat="1" ht="22.5" x14ac:dyDescent="0.25">
      <c r="A2147" s="87">
        <v>14.24</v>
      </c>
      <c r="B2147" s="81" t="s">
        <v>60</v>
      </c>
      <c r="C2147" s="80">
        <v>4.8</v>
      </c>
      <c r="D2147" s="131" t="s">
        <v>1910</v>
      </c>
      <c r="E2147" s="83" t="s">
        <v>3902</v>
      </c>
      <c r="F2147" s="81" t="s">
        <v>370</v>
      </c>
      <c r="G2147" s="80">
        <v>1403.4</v>
      </c>
      <c r="H2147" s="85"/>
      <c r="I2147" s="86">
        <v>250335.1</v>
      </c>
      <c r="J2147" s="185">
        <f t="shared" si="205"/>
        <v>203.1</v>
      </c>
      <c r="K2147" s="189">
        <f t="shared" si="206"/>
        <v>285030.53999999998</v>
      </c>
      <c r="L2147" s="189"/>
      <c r="M2147" s="138"/>
      <c r="N2147" s="138"/>
      <c r="O2147" s="138"/>
      <c r="S2147" s="72"/>
      <c r="T2147" s="72"/>
      <c r="U2147" s="72"/>
      <c r="V2147" s="72"/>
    </row>
    <row r="2148" spans="1:22" s="128" customFormat="1" ht="12.75" x14ac:dyDescent="0.25">
      <c r="A2148" s="237"/>
      <c r="B2148" s="125"/>
      <c r="C2148" s="236"/>
      <c r="D2148" s="77"/>
      <c r="E2148" s="126" t="s">
        <v>3328</v>
      </c>
      <c r="F2148" s="125"/>
      <c r="G2148" s="236"/>
      <c r="H2148" s="127"/>
      <c r="I2148" s="78"/>
      <c r="J2148" s="238"/>
      <c r="K2148" s="239"/>
      <c r="L2148" s="239"/>
      <c r="M2148" s="79"/>
      <c r="N2148" s="79"/>
      <c r="O2148" s="79"/>
      <c r="S2148" s="129"/>
      <c r="T2148" s="129"/>
      <c r="U2148" s="129"/>
      <c r="V2148" s="129"/>
    </row>
    <row r="2149" spans="1:22" s="128" customFormat="1" ht="12.75" x14ac:dyDescent="0.25">
      <c r="A2149" s="237"/>
      <c r="B2149" s="125"/>
      <c r="C2149" s="236"/>
      <c r="D2149" s="77"/>
      <c r="E2149" s="126" t="s">
        <v>3329</v>
      </c>
      <c r="F2149" s="125"/>
      <c r="G2149" s="236"/>
      <c r="H2149" s="127"/>
      <c r="I2149" s="78"/>
      <c r="J2149" s="238"/>
      <c r="K2149" s="239"/>
      <c r="L2149" s="239"/>
      <c r="M2149" s="79"/>
      <c r="N2149" s="79"/>
      <c r="O2149" s="79"/>
      <c r="S2149" s="129"/>
      <c r="T2149" s="129"/>
      <c r="U2149" s="129"/>
      <c r="V2149" s="129"/>
    </row>
    <row r="2150" spans="1:22" s="128" customFormat="1" ht="12.75" x14ac:dyDescent="0.25">
      <c r="A2150" s="237"/>
      <c r="B2150" s="125"/>
      <c r="C2150" s="236"/>
      <c r="D2150" s="77"/>
      <c r="E2150" s="126" t="s">
        <v>3330</v>
      </c>
      <c r="F2150" s="125"/>
      <c r="G2150" s="236"/>
      <c r="H2150" s="127"/>
      <c r="I2150" s="78"/>
      <c r="J2150" s="238"/>
      <c r="K2150" s="239"/>
      <c r="L2150" s="239"/>
      <c r="M2150" s="79"/>
      <c r="N2150" s="79"/>
      <c r="O2150" s="79"/>
      <c r="S2150" s="129"/>
      <c r="T2150" s="129"/>
      <c r="U2150" s="129"/>
      <c r="V2150" s="129"/>
    </row>
    <row r="2151" spans="1:22" s="63" customFormat="1" ht="33.75" x14ac:dyDescent="0.25">
      <c r="A2151" s="87">
        <v>14.25</v>
      </c>
      <c r="B2151" s="81" t="s">
        <v>60</v>
      </c>
      <c r="C2151" s="82">
        <v>5</v>
      </c>
      <c r="D2151" s="131" t="s">
        <v>555</v>
      </c>
      <c r="E2151" s="83" t="s">
        <v>556</v>
      </c>
      <c r="F2151" s="81" t="s">
        <v>207</v>
      </c>
      <c r="G2151" s="84">
        <v>0.60599999999999998</v>
      </c>
      <c r="H2151" s="85"/>
      <c r="I2151" s="86">
        <v>110316.51</v>
      </c>
      <c r="J2151" s="185">
        <f t="shared" ref="J2151:J2157" si="207">ROUND($I2151/$G2151*$N$11,2)</f>
        <v>207271.25</v>
      </c>
      <c r="K2151" s="189">
        <f t="shared" ref="K2151:K2157" si="208">ROUND(G2151*J2151,2)</f>
        <v>125606.38</v>
      </c>
      <c r="L2151" s="189"/>
      <c r="M2151" s="138"/>
      <c r="N2151" s="138"/>
      <c r="O2151" s="138"/>
      <c r="S2151" s="72"/>
      <c r="T2151" s="72"/>
      <c r="U2151" s="72"/>
      <c r="V2151" s="72"/>
    </row>
    <row r="2152" spans="1:22" s="63" customFormat="1" ht="22.5" x14ac:dyDescent="0.25">
      <c r="A2152" s="87">
        <v>14.26</v>
      </c>
      <c r="B2152" s="81" t="s">
        <v>60</v>
      </c>
      <c r="C2152" s="80">
        <v>5.0999999999999996</v>
      </c>
      <c r="D2152" s="131" t="s">
        <v>1911</v>
      </c>
      <c r="E2152" s="83" t="s">
        <v>1912</v>
      </c>
      <c r="F2152" s="81" t="s">
        <v>334</v>
      </c>
      <c r="G2152" s="80">
        <v>-121.2</v>
      </c>
      <c r="H2152" s="85"/>
      <c r="I2152" s="86">
        <v>-6231.54</v>
      </c>
      <c r="J2152" s="185">
        <f t="shared" si="207"/>
        <v>58.54</v>
      </c>
      <c r="K2152" s="189">
        <f t="shared" si="208"/>
        <v>-7095.05</v>
      </c>
      <c r="L2152" s="189"/>
      <c r="M2152" s="138"/>
      <c r="N2152" s="138"/>
      <c r="O2152" s="138"/>
      <c r="S2152" s="72"/>
      <c r="T2152" s="72"/>
      <c r="U2152" s="72"/>
      <c r="V2152" s="72"/>
    </row>
    <row r="2153" spans="1:22" s="63" customFormat="1" ht="22.5" x14ac:dyDescent="0.25">
      <c r="A2153" s="87">
        <v>14.27</v>
      </c>
      <c r="B2153" s="81" t="s">
        <v>60</v>
      </c>
      <c r="C2153" s="80">
        <v>5.2</v>
      </c>
      <c r="D2153" s="131" t="s">
        <v>557</v>
      </c>
      <c r="E2153" s="83" t="s">
        <v>558</v>
      </c>
      <c r="F2153" s="81" t="s">
        <v>219</v>
      </c>
      <c r="G2153" s="80">
        <v>-212.1</v>
      </c>
      <c r="H2153" s="85"/>
      <c r="I2153" s="86">
        <v>-26744.959999999999</v>
      </c>
      <c r="J2153" s="185">
        <f t="shared" si="207"/>
        <v>143.57</v>
      </c>
      <c r="K2153" s="189">
        <f t="shared" si="208"/>
        <v>-30451.200000000001</v>
      </c>
      <c r="L2153" s="189"/>
      <c r="M2153" s="138"/>
      <c r="N2153" s="138"/>
      <c r="O2153" s="138"/>
      <c r="S2153" s="72"/>
      <c r="T2153" s="72"/>
      <c r="U2153" s="72"/>
      <c r="V2153" s="72"/>
    </row>
    <row r="2154" spans="1:22" s="63" customFormat="1" ht="22.5" x14ac:dyDescent="0.25">
      <c r="A2154" s="87">
        <v>14.28</v>
      </c>
      <c r="B2154" s="81" t="s">
        <v>60</v>
      </c>
      <c r="C2154" s="80">
        <v>5.3</v>
      </c>
      <c r="D2154" s="131" t="s">
        <v>1913</v>
      </c>
      <c r="E2154" s="83" t="s">
        <v>1914</v>
      </c>
      <c r="F2154" s="81" t="s">
        <v>1898</v>
      </c>
      <c r="G2154" s="84">
        <v>-25.452000000000002</v>
      </c>
      <c r="H2154" s="85"/>
      <c r="I2154" s="86">
        <v>-4287.4399999999996</v>
      </c>
      <c r="J2154" s="185">
        <f t="shared" si="207"/>
        <v>191.8</v>
      </c>
      <c r="K2154" s="189">
        <f t="shared" si="208"/>
        <v>-4881.6899999999996</v>
      </c>
      <c r="L2154" s="189"/>
      <c r="M2154" s="138"/>
      <c r="N2154" s="138"/>
      <c r="O2154" s="138"/>
      <c r="S2154" s="72"/>
      <c r="T2154" s="72"/>
      <c r="U2154" s="72"/>
      <c r="V2154" s="72"/>
    </row>
    <row r="2155" spans="1:22" s="63" customFormat="1" ht="22.5" x14ac:dyDescent="0.25">
      <c r="A2155" s="87">
        <v>14.29</v>
      </c>
      <c r="B2155" s="81" t="s">
        <v>60</v>
      </c>
      <c r="C2155" s="80">
        <v>5.4</v>
      </c>
      <c r="D2155" s="131" t="s">
        <v>1915</v>
      </c>
      <c r="E2155" s="83" t="s">
        <v>1916</v>
      </c>
      <c r="F2155" s="81" t="s">
        <v>1898</v>
      </c>
      <c r="G2155" s="84">
        <v>-7.2720000000000002</v>
      </c>
      <c r="H2155" s="85"/>
      <c r="I2155" s="86">
        <v>-3412.14</v>
      </c>
      <c r="J2155" s="185">
        <f t="shared" si="207"/>
        <v>534.25</v>
      </c>
      <c r="K2155" s="189">
        <f t="shared" si="208"/>
        <v>-3885.07</v>
      </c>
      <c r="L2155" s="189"/>
      <c r="M2155" s="138"/>
      <c r="N2155" s="138"/>
      <c r="O2155" s="138"/>
      <c r="S2155" s="72"/>
      <c r="T2155" s="72"/>
      <c r="U2155" s="72"/>
      <c r="V2155" s="72"/>
    </row>
    <row r="2156" spans="1:22" s="63" customFormat="1" ht="22.5" x14ac:dyDescent="0.25">
      <c r="A2156" s="87">
        <v>14.3</v>
      </c>
      <c r="B2156" s="81" t="s">
        <v>60</v>
      </c>
      <c r="C2156" s="80">
        <v>5.5</v>
      </c>
      <c r="D2156" s="131" t="s">
        <v>1917</v>
      </c>
      <c r="E2156" s="83" t="s">
        <v>1918</v>
      </c>
      <c r="F2156" s="81" t="s">
        <v>1898</v>
      </c>
      <c r="G2156" s="87">
        <v>-33.33</v>
      </c>
      <c r="H2156" s="85"/>
      <c r="I2156" s="86">
        <v>-1820.22</v>
      </c>
      <c r="J2156" s="185">
        <f t="shared" si="207"/>
        <v>62.18</v>
      </c>
      <c r="K2156" s="189">
        <f t="shared" si="208"/>
        <v>-2072.46</v>
      </c>
      <c r="L2156" s="189"/>
      <c r="M2156" s="138"/>
      <c r="N2156" s="138"/>
      <c r="O2156" s="138"/>
      <c r="S2156" s="72"/>
      <c r="T2156" s="72"/>
      <c r="U2156" s="72"/>
      <c r="V2156" s="72"/>
    </row>
    <row r="2157" spans="1:22" s="63" customFormat="1" ht="22.5" x14ac:dyDescent="0.25">
      <c r="A2157" s="87">
        <v>14.31</v>
      </c>
      <c r="B2157" s="81" t="s">
        <v>60</v>
      </c>
      <c r="C2157" s="80">
        <v>5.6</v>
      </c>
      <c r="D2157" s="131" t="s">
        <v>1919</v>
      </c>
      <c r="E2157" s="83" t="s">
        <v>3468</v>
      </c>
      <c r="F2157" s="81" t="s">
        <v>370</v>
      </c>
      <c r="G2157" s="84">
        <v>62.417999999999999</v>
      </c>
      <c r="H2157" s="85"/>
      <c r="I2157" s="86">
        <v>122296.69</v>
      </c>
      <c r="J2157" s="185">
        <f t="shared" si="207"/>
        <v>2230.88</v>
      </c>
      <c r="K2157" s="189">
        <f t="shared" si="208"/>
        <v>139247.07</v>
      </c>
      <c r="L2157" s="189"/>
      <c r="M2157" s="138"/>
      <c r="N2157" s="138"/>
      <c r="O2157" s="138"/>
      <c r="S2157" s="72"/>
      <c r="T2157" s="72"/>
      <c r="U2157" s="72"/>
      <c r="V2157" s="72"/>
    </row>
    <row r="2158" spans="1:22" s="128" customFormat="1" ht="12.75" x14ac:dyDescent="0.25">
      <c r="A2158" s="237"/>
      <c r="B2158" s="125"/>
      <c r="C2158" s="236"/>
      <c r="D2158" s="77"/>
      <c r="E2158" s="126" t="s">
        <v>3331</v>
      </c>
      <c r="F2158" s="125"/>
      <c r="G2158" s="242"/>
      <c r="H2158" s="127"/>
      <c r="I2158" s="78"/>
      <c r="J2158" s="238"/>
      <c r="K2158" s="239"/>
      <c r="L2158" s="239"/>
      <c r="M2158" s="79"/>
      <c r="N2158" s="79"/>
      <c r="O2158" s="79"/>
      <c r="S2158" s="129"/>
      <c r="T2158" s="129"/>
      <c r="U2158" s="129"/>
      <c r="V2158" s="129"/>
    </row>
    <row r="2159" spans="1:22" s="63" customFormat="1" ht="33.75" x14ac:dyDescent="0.25">
      <c r="A2159" s="87">
        <v>14.32</v>
      </c>
      <c r="B2159" s="81" t="s">
        <v>60</v>
      </c>
      <c r="C2159" s="82">
        <v>6</v>
      </c>
      <c r="D2159" s="131" t="s">
        <v>1920</v>
      </c>
      <c r="E2159" s="83" t="s">
        <v>1921</v>
      </c>
      <c r="F2159" s="81" t="s">
        <v>207</v>
      </c>
      <c r="G2159" s="84">
        <v>0.376</v>
      </c>
      <c r="H2159" s="85"/>
      <c r="I2159" s="86">
        <v>80528.42</v>
      </c>
      <c r="J2159" s="185">
        <f t="shared" ref="J2159:J2167" si="209">ROUND($I2159/$G2159*$N$11,2)</f>
        <v>243855.48</v>
      </c>
      <c r="K2159" s="189">
        <f t="shared" ref="K2159:K2167" si="210">ROUND(G2159*J2159,2)</f>
        <v>91689.66</v>
      </c>
      <c r="L2159" s="189"/>
      <c r="M2159" s="138"/>
      <c r="N2159" s="138"/>
      <c r="O2159" s="138"/>
      <c r="S2159" s="72"/>
      <c r="T2159" s="72"/>
      <c r="U2159" s="72"/>
      <c r="V2159" s="72"/>
    </row>
    <row r="2160" spans="1:22" s="63" customFormat="1" ht="22.5" x14ac:dyDescent="0.25">
      <c r="A2160" s="87">
        <v>14.33</v>
      </c>
      <c r="B2160" s="81" t="s">
        <v>60</v>
      </c>
      <c r="C2160" s="80">
        <v>6.1</v>
      </c>
      <c r="D2160" s="131" t="s">
        <v>1917</v>
      </c>
      <c r="E2160" s="83" t="s">
        <v>1918</v>
      </c>
      <c r="F2160" s="81" t="s">
        <v>1898</v>
      </c>
      <c r="G2160" s="87">
        <v>-20.68</v>
      </c>
      <c r="H2160" s="85"/>
      <c r="I2160" s="86">
        <v>-1129.3599999999999</v>
      </c>
      <c r="J2160" s="185">
        <f t="shared" si="209"/>
        <v>62.18</v>
      </c>
      <c r="K2160" s="189">
        <f t="shared" si="210"/>
        <v>-1285.8800000000001</v>
      </c>
      <c r="L2160" s="189"/>
      <c r="M2160" s="138"/>
      <c r="N2160" s="138"/>
      <c r="O2160" s="138"/>
      <c r="S2160" s="72"/>
      <c r="T2160" s="72"/>
      <c r="U2160" s="72"/>
      <c r="V2160" s="72"/>
    </row>
    <row r="2161" spans="1:22" s="63" customFormat="1" ht="22.5" x14ac:dyDescent="0.25">
      <c r="A2161" s="87">
        <v>14.34</v>
      </c>
      <c r="B2161" s="81" t="s">
        <v>60</v>
      </c>
      <c r="C2161" s="80">
        <v>6.2</v>
      </c>
      <c r="D2161" s="131" t="s">
        <v>1915</v>
      </c>
      <c r="E2161" s="83" t="s">
        <v>1916</v>
      </c>
      <c r="F2161" s="81" t="s">
        <v>1898</v>
      </c>
      <c r="G2161" s="84">
        <v>-4.5119999999999996</v>
      </c>
      <c r="H2161" s="85"/>
      <c r="I2161" s="86">
        <v>-2117.08</v>
      </c>
      <c r="J2161" s="185">
        <f t="shared" si="209"/>
        <v>534.24</v>
      </c>
      <c r="K2161" s="189">
        <f t="shared" si="210"/>
        <v>-2410.4899999999998</v>
      </c>
      <c r="L2161" s="189"/>
      <c r="M2161" s="138"/>
      <c r="N2161" s="138"/>
      <c r="O2161" s="138"/>
      <c r="S2161" s="72"/>
      <c r="T2161" s="72"/>
      <c r="U2161" s="72"/>
      <c r="V2161" s="72"/>
    </row>
    <row r="2162" spans="1:22" s="63" customFormat="1" ht="22.5" x14ac:dyDescent="0.25">
      <c r="A2162" s="87">
        <v>14.35</v>
      </c>
      <c r="B2162" s="81" t="s">
        <v>60</v>
      </c>
      <c r="C2162" s="80">
        <v>6.3</v>
      </c>
      <c r="D2162" s="131" t="s">
        <v>1913</v>
      </c>
      <c r="E2162" s="83" t="s">
        <v>1914</v>
      </c>
      <c r="F2162" s="81" t="s">
        <v>1898</v>
      </c>
      <c r="G2162" s="84">
        <v>-15.792</v>
      </c>
      <c r="H2162" s="85"/>
      <c r="I2162" s="86">
        <v>-2660.18</v>
      </c>
      <c r="J2162" s="185">
        <f t="shared" si="209"/>
        <v>191.8</v>
      </c>
      <c r="K2162" s="189">
        <f t="shared" si="210"/>
        <v>-3028.91</v>
      </c>
      <c r="L2162" s="189"/>
      <c r="M2162" s="138"/>
      <c r="N2162" s="138"/>
      <c r="O2162" s="138"/>
      <c r="S2162" s="72"/>
      <c r="T2162" s="72"/>
      <c r="U2162" s="72"/>
      <c r="V2162" s="72"/>
    </row>
    <row r="2163" spans="1:22" s="63" customFormat="1" ht="22.5" x14ac:dyDescent="0.25">
      <c r="A2163" s="87">
        <v>14.36</v>
      </c>
      <c r="B2163" s="81" t="s">
        <v>60</v>
      </c>
      <c r="C2163" s="80">
        <v>6.4</v>
      </c>
      <c r="D2163" s="131" t="s">
        <v>557</v>
      </c>
      <c r="E2163" s="83" t="s">
        <v>558</v>
      </c>
      <c r="F2163" s="81" t="s">
        <v>219</v>
      </c>
      <c r="G2163" s="80">
        <v>-150.4</v>
      </c>
      <c r="H2163" s="85"/>
      <c r="I2163" s="86">
        <v>-18964.84</v>
      </c>
      <c r="J2163" s="185">
        <f t="shared" si="209"/>
        <v>143.57</v>
      </c>
      <c r="K2163" s="189">
        <f t="shared" si="210"/>
        <v>-21592.93</v>
      </c>
      <c r="L2163" s="189"/>
      <c r="M2163" s="138"/>
      <c r="N2163" s="138"/>
      <c r="O2163" s="138"/>
      <c r="S2163" s="72"/>
      <c r="T2163" s="72"/>
      <c r="U2163" s="72"/>
      <c r="V2163" s="72"/>
    </row>
    <row r="2164" spans="1:22" s="63" customFormat="1" ht="22.5" x14ac:dyDescent="0.25">
      <c r="A2164" s="87">
        <v>14.37</v>
      </c>
      <c r="B2164" s="81" t="s">
        <v>60</v>
      </c>
      <c r="C2164" s="80">
        <v>6.5</v>
      </c>
      <c r="D2164" s="131" t="s">
        <v>1911</v>
      </c>
      <c r="E2164" s="83" t="s">
        <v>1912</v>
      </c>
      <c r="F2164" s="81" t="s">
        <v>334</v>
      </c>
      <c r="G2164" s="80">
        <v>-150.4</v>
      </c>
      <c r="H2164" s="85"/>
      <c r="I2164" s="86">
        <v>-7732.88</v>
      </c>
      <c r="J2164" s="185">
        <f t="shared" si="209"/>
        <v>58.54</v>
      </c>
      <c r="K2164" s="189">
        <f t="shared" si="210"/>
        <v>-8804.42</v>
      </c>
      <c r="L2164" s="189"/>
      <c r="M2164" s="138"/>
      <c r="N2164" s="138"/>
      <c r="O2164" s="138"/>
      <c r="S2164" s="72"/>
      <c r="T2164" s="72"/>
      <c r="U2164" s="72"/>
      <c r="V2164" s="72"/>
    </row>
    <row r="2165" spans="1:22" s="63" customFormat="1" ht="22.5" x14ac:dyDescent="0.25">
      <c r="A2165" s="87">
        <v>14.38</v>
      </c>
      <c r="B2165" s="81" t="s">
        <v>60</v>
      </c>
      <c r="C2165" s="80">
        <v>6.6</v>
      </c>
      <c r="D2165" s="131" t="s">
        <v>1919</v>
      </c>
      <c r="E2165" s="83" t="s">
        <v>1922</v>
      </c>
      <c r="F2165" s="81" t="s">
        <v>370</v>
      </c>
      <c r="G2165" s="84">
        <v>38.728000000000002</v>
      </c>
      <c r="H2165" s="85"/>
      <c r="I2165" s="86">
        <v>75880.490000000005</v>
      </c>
      <c r="J2165" s="185">
        <f t="shared" si="209"/>
        <v>2230.88</v>
      </c>
      <c r="K2165" s="189">
        <f t="shared" si="210"/>
        <v>86397.52</v>
      </c>
      <c r="L2165" s="189"/>
      <c r="M2165" s="138"/>
      <c r="N2165" s="138"/>
      <c r="O2165" s="138"/>
      <c r="S2165" s="72"/>
      <c r="T2165" s="72"/>
      <c r="U2165" s="72"/>
      <c r="V2165" s="72"/>
    </row>
    <row r="2166" spans="1:22" s="63" customFormat="1" ht="22.5" x14ac:dyDescent="0.25">
      <c r="A2166" s="87">
        <v>14.39</v>
      </c>
      <c r="B2166" s="81" t="s">
        <v>60</v>
      </c>
      <c r="C2166" s="80">
        <v>6.7</v>
      </c>
      <c r="D2166" s="131" t="s">
        <v>1908</v>
      </c>
      <c r="E2166" s="83" t="s">
        <v>3901</v>
      </c>
      <c r="F2166" s="81" t="s">
        <v>370</v>
      </c>
      <c r="G2166" s="80">
        <v>98.2</v>
      </c>
      <c r="H2166" s="85"/>
      <c r="I2166" s="86">
        <v>76084.55</v>
      </c>
      <c r="J2166" s="185">
        <f t="shared" si="209"/>
        <v>882.18</v>
      </c>
      <c r="K2166" s="189">
        <f t="shared" si="210"/>
        <v>86630.080000000002</v>
      </c>
      <c r="L2166" s="189"/>
      <c r="M2166" s="138"/>
      <c r="N2166" s="138"/>
      <c r="O2166" s="138"/>
      <c r="S2166" s="72"/>
      <c r="T2166" s="72"/>
      <c r="U2166" s="72"/>
      <c r="V2166" s="72"/>
    </row>
    <row r="2167" spans="1:22" s="63" customFormat="1" ht="22.5" x14ac:dyDescent="0.25">
      <c r="A2167" s="87">
        <v>14.4</v>
      </c>
      <c r="B2167" s="81" t="s">
        <v>60</v>
      </c>
      <c r="C2167" s="80">
        <v>6.8</v>
      </c>
      <c r="D2167" s="131" t="s">
        <v>1910</v>
      </c>
      <c r="E2167" s="83" t="s">
        <v>3902</v>
      </c>
      <c r="F2167" s="81" t="s">
        <v>370</v>
      </c>
      <c r="G2167" s="80">
        <v>98.2</v>
      </c>
      <c r="H2167" s="85"/>
      <c r="I2167" s="86">
        <v>17516.689999999999</v>
      </c>
      <c r="J2167" s="185">
        <f t="shared" si="209"/>
        <v>203.1</v>
      </c>
      <c r="K2167" s="189">
        <f t="shared" si="210"/>
        <v>19944.419999999998</v>
      </c>
      <c r="L2167" s="189"/>
      <c r="M2167" s="138"/>
      <c r="N2167" s="138"/>
      <c r="O2167" s="138"/>
      <c r="S2167" s="72"/>
      <c r="T2167" s="72"/>
      <c r="U2167" s="72"/>
      <c r="V2167" s="72"/>
    </row>
    <row r="2168" spans="1:22" s="128" customFormat="1" ht="12.75" x14ac:dyDescent="0.25">
      <c r="A2168" s="237"/>
      <c r="B2168" s="125"/>
      <c r="C2168" s="236"/>
      <c r="D2168" s="77"/>
      <c r="E2168" s="126" t="s">
        <v>3332</v>
      </c>
      <c r="F2168" s="125"/>
      <c r="G2168" s="236"/>
      <c r="H2168" s="127"/>
      <c r="I2168" s="78"/>
      <c r="J2168" s="238"/>
      <c r="K2168" s="239"/>
      <c r="L2168" s="239"/>
      <c r="M2168" s="79"/>
      <c r="N2168" s="79"/>
      <c r="O2168" s="79"/>
      <c r="S2168" s="129"/>
      <c r="T2168" s="129"/>
      <c r="U2168" s="129"/>
      <c r="V2168" s="129"/>
    </row>
    <row r="2169" spans="1:22" s="128" customFormat="1" ht="12.75" x14ac:dyDescent="0.25">
      <c r="A2169" s="237"/>
      <c r="B2169" s="125"/>
      <c r="C2169" s="236"/>
      <c r="D2169" s="77"/>
      <c r="E2169" s="126" t="s">
        <v>3333</v>
      </c>
      <c r="F2169" s="125"/>
      <c r="G2169" s="236"/>
      <c r="H2169" s="127"/>
      <c r="I2169" s="78"/>
      <c r="J2169" s="238"/>
      <c r="K2169" s="239"/>
      <c r="L2169" s="239"/>
      <c r="M2169" s="79"/>
      <c r="N2169" s="79"/>
      <c r="O2169" s="79"/>
      <c r="S2169" s="129"/>
      <c r="T2169" s="129"/>
      <c r="U2169" s="129"/>
      <c r="V2169" s="129"/>
    </row>
    <row r="2170" spans="1:22" s="63" customFormat="1" ht="33.75" x14ac:dyDescent="0.25">
      <c r="A2170" s="87">
        <v>14.41</v>
      </c>
      <c r="B2170" s="81" t="s">
        <v>60</v>
      </c>
      <c r="C2170" s="82">
        <v>7</v>
      </c>
      <c r="D2170" s="131" t="s">
        <v>1923</v>
      </c>
      <c r="E2170" s="83" t="s">
        <v>1924</v>
      </c>
      <c r="F2170" s="81" t="s">
        <v>207</v>
      </c>
      <c r="G2170" s="80">
        <v>0.4</v>
      </c>
      <c r="H2170" s="85"/>
      <c r="I2170" s="86">
        <v>125442.24000000001</v>
      </c>
      <c r="J2170" s="185">
        <f t="shared" ref="J2170:J2176" si="211">ROUND($I2170/$G2170*$N$11,2)</f>
        <v>357071.34</v>
      </c>
      <c r="K2170" s="189">
        <f t="shared" ref="K2170:K2176" si="212">ROUND(G2170*J2170,2)</f>
        <v>142828.54</v>
      </c>
      <c r="L2170" s="189"/>
      <c r="M2170" s="138"/>
      <c r="N2170" s="138"/>
      <c r="O2170" s="138"/>
      <c r="S2170" s="72"/>
      <c r="T2170" s="72"/>
      <c r="U2170" s="72"/>
      <c r="V2170" s="72"/>
    </row>
    <row r="2171" spans="1:22" s="63" customFormat="1" ht="22.5" x14ac:dyDescent="0.25">
      <c r="A2171" s="87">
        <v>14.42</v>
      </c>
      <c r="B2171" s="81" t="s">
        <v>60</v>
      </c>
      <c r="C2171" s="80">
        <v>7.1</v>
      </c>
      <c r="D2171" s="131" t="s">
        <v>1925</v>
      </c>
      <c r="E2171" s="83" t="s">
        <v>1926</v>
      </c>
      <c r="F2171" s="81" t="s">
        <v>226</v>
      </c>
      <c r="G2171" s="84">
        <v>-1.6E-2</v>
      </c>
      <c r="H2171" s="85"/>
      <c r="I2171" s="86">
        <v>-100.34</v>
      </c>
      <c r="J2171" s="185">
        <f t="shared" si="211"/>
        <v>7140.45</v>
      </c>
      <c r="K2171" s="189">
        <f t="shared" si="212"/>
        <v>-114.25</v>
      </c>
      <c r="L2171" s="189"/>
      <c r="M2171" s="138"/>
      <c r="N2171" s="138"/>
      <c r="O2171" s="138"/>
      <c r="S2171" s="72"/>
      <c r="T2171" s="72"/>
      <c r="U2171" s="72"/>
      <c r="V2171" s="72"/>
    </row>
    <row r="2172" spans="1:22" s="63" customFormat="1" ht="22.5" x14ac:dyDescent="0.25">
      <c r="A2172" s="87">
        <v>14.43</v>
      </c>
      <c r="B2172" s="81" t="s">
        <v>60</v>
      </c>
      <c r="C2172" s="80">
        <v>7.2</v>
      </c>
      <c r="D2172" s="131" t="s">
        <v>1927</v>
      </c>
      <c r="E2172" s="83" t="s">
        <v>1928</v>
      </c>
      <c r="F2172" s="81" t="s">
        <v>205</v>
      </c>
      <c r="G2172" s="80">
        <v>-0.8</v>
      </c>
      <c r="H2172" s="85"/>
      <c r="I2172" s="86">
        <v>-4539.99</v>
      </c>
      <c r="J2172" s="185">
        <f t="shared" si="211"/>
        <v>6461.54</v>
      </c>
      <c r="K2172" s="189">
        <f t="shared" si="212"/>
        <v>-5169.2299999999996</v>
      </c>
      <c r="L2172" s="189"/>
      <c r="M2172" s="138"/>
      <c r="N2172" s="138"/>
      <c r="O2172" s="138"/>
      <c r="S2172" s="72"/>
      <c r="T2172" s="72"/>
      <c r="U2172" s="72"/>
      <c r="V2172" s="72"/>
    </row>
    <row r="2173" spans="1:22" s="63" customFormat="1" ht="22.5" x14ac:dyDescent="0.25">
      <c r="A2173" s="87">
        <v>14.44</v>
      </c>
      <c r="B2173" s="81" t="s">
        <v>60</v>
      </c>
      <c r="C2173" s="80">
        <v>7.3</v>
      </c>
      <c r="D2173" s="131" t="s">
        <v>1929</v>
      </c>
      <c r="E2173" s="83" t="s">
        <v>1930</v>
      </c>
      <c r="F2173" s="81" t="s">
        <v>210</v>
      </c>
      <c r="G2173" s="82">
        <v>148</v>
      </c>
      <c r="H2173" s="85"/>
      <c r="I2173" s="86">
        <v>4718.12</v>
      </c>
      <c r="J2173" s="185">
        <f t="shared" si="211"/>
        <v>36.299999999999997</v>
      </c>
      <c r="K2173" s="189">
        <f t="shared" si="212"/>
        <v>5372.4</v>
      </c>
      <c r="L2173" s="189"/>
      <c r="M2173" s="138"/>
      <c r="N2173" s="138"/>
      <c r="O2173" s="138"/>
      <c r="S2173" s="72"/>
      <c r="T2173" s="72"/>
      <c r="U2173" s="72"/>
      <c r="V2173" s="72"/>
    </row>
    <row r="2174" spans="1:22" s="63" customFormat="1" ht="22.5" x14ac:dyDescent="0.25">
      <c r="A2174" s="87">
        <v>14.45</v>
      </c>
      <c r="B2174" s="81" t="s">
        <v>60</v>
      </c>
      <c r="C2174" s="80">
        <v>7.4</v>
      </c>
      <c r="D2174" s="131" t="s">
        <v>1931</v>
      </c>
      <c r="E2174" s="83" t="s">
        <v>1932</v>
      </c>
      <c r="F2174" s="81" t="s">
        <v>226</v>
      </c>
      <c r="G2174" s="87">
        <v>0.04</v>
      </c>
      <c r="H2174" s="85"/>
      <c r="I2174" s="86">
        <v>4384.5</v>
      </c>
      <c r="J2174" s="185">
        <f t="shared" si="211"/>
        <v>124804.79</v>
      </c>
      <c r="K2174" s="189">
        <f t="shared" si="212"/>
        <v>4992.1899999999996</v>
      </c>
      <c r="L2174" s="189"/>
      <c r="M2174" s="138"/>
      <c r="N2174" s="138"/>
      <c r="O2174" s="138"/>
      <c r="S2174" s="72"/>
      <c r="T2174" s="72"/>
      <c r="U2174" s="72"/>
      <c r="V2174" s="72"/>
    </row>
    <row r="2175" spans="1:22" s="63" customFormat="1" ht="22.5" x14ac:dyDescent="0.25">
      <c r="A2175" s="87">
        <v>14.46</v>
      </c>
      <c r="B2175" s="81" t="s">
        <v>60</v>
      </c>
      <c r="C2175" s="80">
        <v>7.5</v>
      </c>
      <c r="D2175" s="131" t="s">
        <v>1933</v>
      </c>
      <c r="E2175" s="83" t="s">
        <v>1934</v>
      </c>
      <c r="F2175" s="81" t="s">
        <v>370</v>
      </c>
      <c r="G2175" s="82">
        <v>40</v>
      </c>
      <c r="H2175" s="85"/>
      <c r="I2175" s="86">
        <v>42545.86</v>
      </c>
      <c r="J2175" s="185">
        <f t="shared" si="211"/>
        <v>1211.07</v>
      </c>
      <c r="K2175" s="189">
        <f t="shared" si="212"/>
        <v>48442.8</v>
      </c>
      <c r="L2175" s="189"/>
      <c r="M2175" s="138"/>
      <c r="N2175" s="138"/>
      <c r="O2175" s="138"/>
      <c r="S2175" s="72"/>
      <c r="T2175" s="72"/>
      <c r="U2175" s="72"/>
      <c r="V2175" s="72"/>
    </row>
    <row r="2176" spans="1:22" s="63" customFormat="1" ht="22.5" x14ac:dyDescent="0.25">
      <c r="A2176" s="87">
        <v>14.47</v>
      </c>
      <c r="B2176" s="81" t="s">
        <v>60</v>
      </c>
      <c r="C2176" s="80">
        <v>7.6</v>
      </c>
      <c r="D2176" s="131" t="s">
        <v>607</v>
      </c>
      <c r="E2176" s="83" t="s">
        <v>608</v>
      </c>
      <c r="F2176" s="81" t="s">
        <v>213</v>
      </c>
      <c r="G2176" s="82">
        <v>8</v>
      </c>
      <c r="H2176" s="85"/>
      <c r="I2176" s="86">
        <v>649.30999999999995</v>
      </c>
      <c r="J2176" s="185">
        <f t="shared" si="211"/>
        <v>92.41</v>
      </c>
      <c r="K2176" s="189">
        <f t="shared" si="212"/>
        <v>739.28</v>
      </c>
      <c r="L2176" s="189"/>
      <c r="M2176" s="138"/>
      <c r="N2176" s="138"/>
      <c r="O2176" s="138"/>
      <c r="S2176" s="72"/>
      <c r="T2176" s="72"/>
      <c r="U2176" s="72"/>
      <c r="V2176" s="72"/>
    </row>
    <row r="2177" spans="1:22" s="128" customFormat="1" ht="12.75" x14ac:dyDescent="0.25">
      <c r="A2177" s="237"/>
      <c r="B2177" s="125"/>
      <c r="C2177" s="236"/>
      <c r="D2177" s="77"/>
      <c r="E2177" s="126" t="s">
        <v>3334</v>
      </c>
      <c r="F2177" s="125"/>
      <c r="G2177" s="76"/>
      <c r="H2177" s="127"/>
      <c r="I2177" s="78"/>
      <c r="J2177" s="238"/>
      <c r="K2177" s="239"/>
      <c r="L2177" s="239"/>
      <c r="M2177" s="79"/>
      <c r="N2177" s="79"/>
      <c r="O2177" s="79"/>
      <c r="S2177" s="129"/>
      <c r="T2177" s="129"/>
      <c r="U2177" s="129"/>
      <c r="V2177" s="129"/>
    </row>
    <row r="2178" spans="1:22" s="63" customFormat="1" ht="15" x14ac:dyDescent="0.25">
      <c r="A2178" s="87">
        <v>14.48</v>
      </c>
      <c r="B2178" s="81" t="s">
        <v>60</v>
      </c>
      <c r="C2178" s="82">
        <v>8</v>
      </c>
      <c r="D2178" s="131" t="s">
        <v>1935</v>
      </c>
      <c r="E2178" s="83" t="s">
        <v>1936</v>
      </c>
      <c r="F2178" s="81" t="s">
        <v>207</v>
      </c>
      <c r="G2178" s="84">
        <v>0.26500000000000001</v>
      </c>
      <c r="H2178" s="85"/>
      <c r="I2178" s="86">
        <v>130965.89</v>
      </c>
      <c r="J2178" s="185">
        <f>ROUND($I2178/$G2178*$N$11,2)</f>
        <v>562708.54</v>
      </c>
      <c r="K2178" s="189">
        <f>ROUND(G2178*J2178,2)</f>
        <v>149117.76000000001</v>
      </c>
      <c r="L2178" s="189"/>
      <c r="M2178" s="138"/>
      <c r="N2178" s="138"/>
      <c r="O2178" s="138"/>
      <c r="S2178" s="72"/>
      <c r="T2178" s="72"/>
      <c r="U2178" s="72"/>
      <c r="V2178" s="72"/>
    </row>
    <row r="2179" spans="1:22" s="63" customFormat="1" ht="22.5" x14ac:dyDescent="0.25">
      <c r="A2179" s="87">
        <v>14.49</v>
      </c>
      <c r="B2179" s="81" t="s">
        <v>60</v>
      </c>
      <c r="C2179" s="80">
        <v>8.1</v>
      </c>
      <c r="D2179" s="131" t="s">
        <v>1937</v>
      </c>
      <c r="E2179" s="83" t="s">
        <v>1938</v>
      </c>
      <c r="F2179" s="81" t="s">
        <v>205</v>
      </c>
      <c r="G2179" s="89">
        <v>2.65E-3</v>
      </c>
      <c r="H2179" s="85"/>
      <c r="I2179" s="86">
        <v>68.64</v>
      </c>
      <c r="J2179" s="185">
        <f>ROUND($I2179/$G2179*$N$11,2)</f>
        <v>29491.89</v>
      </c>
      <c r="K2179" s="189">
        <f>ROUND(G2179*J2179,2)</f>
        <v>78.150000000000006</v>
      </c>
      <c r="L2179" s="189"/>
      <c r="M2179" s="138"/>
      <c r="N2179" s="138"/>
      <c r="O2179" s="138"/>
      <c r="S2179" s="72"/>
      <c r="T2179" s="72"/>
      <c r="U2179" s="72"/>
      <c r="V2179" s="72"/>
    </row>
    <row r="2180" spans="1:22" s="234" customFormat="1" ht="15" x14ac:dyDescent="0.25">
      <c r="A2180" s="231"/>
      <c r="B2180" s="227"/>
      <c r="C2180" s="226"/>
      <c r="D2180" s="229"/>
      <c r="E2180" s="230" t="s">
        <v>3335</v>
      </c>
      <c r="F2180" s="227"/>
      <c r="G2180" s="246"/>
      <c r="H2180" s="232"/>
      <c r="I2180" s="233"/>
      <c r="J2180" s="188"/>
      <c r="K2180" s="186"/>
      <c r="L2180" s="186"/>
      <c r="M2180" s="79"/>
      <c r="N2180" s="79"/>
      <c r="O2180" s="79"/>
      <c r="S2180" s="235"/>
      <c r="T2180" s="235"/>
      <c r="U2180" s="235"/>
      <c r="V2180" s="235"/>
    </row>
    <row r="2181" spans="1:22" s="63" customFormat="1" ht="22.5" x14ac:dyDescent="0.25">
      <c r="A2181" s="87">
        <v>14.5</v>
      </c>
      <c r="B2181" s="81" t="s">
        <v>60</v>
      </c>
      <c r="C2181" s="82">
        <v>9</v>
      </c>
      <c r="D2181" s="131" t="s">
        <v>1939</v>
      </c>
      <c r="E2181" s="83" t="s">
        <v>1940</v>
      </c>
      <c r="F2181" s="81" t="s">
        <v>207</v>
      </c>
      <c r="G2181" s="87">
        <v>0.47</v>
      </c>
      <c r="H2181" s="85"/>
      <c r="I2181" s="86">
        <v>225292.63</v>
      </c>
      <c r="J2181" s="185">
        <f>ROUND($I2181/$G2181*$N$11,2)</f>
        <v>545783.38</v>
      </c>
      <c r="K2181" s="189">
        <f>ROUND(G2181*J2181,2)</f>
        <v>256518.19</v>
      </c>
      <c r="L2181" s="189"/>
      <c r="M2181" s="138"/>
      <c r="N2181" s="138"/>
      <c r="O2181" s="138"/>
      <c r="S2181" s="72"/>
      <c r="T2181" s="72"/>
      <c r="U2181" s="72"/>
      <c r="V2181" s="72"/>
    </row>
    <row r="2182" spans="1:22" s="63" customFormat="1" ht="22.5" x14ac:dyDescent="0.25">
      <c r="A2182" s="87">
        <v>14.51</v>
      </c>
      <c r="B2182" s="81" t="s">
        <v>60</v>
      </c>
      <c r="C2182" s="80">
        <v>9.1</v>
      </c>
      <c r="D2182" s="131" t="s">
        <v>1937</v>
      </c>
      <c r="E2182" s="83" t="s">
        <v>1938</v>
      </c>
      <c r="F2182" s="81" t="s">
        <v>205</v>
      </c>
      <c r="G2182" s="88">
        <v>4.7000000000000002E-3</v>
      </c>
      <c r="H2182" s="85"/>
      <c r="I2182" s="86">
        <v>121.74</v>
      </c>
      <c r="J2182" s="185">
        <f>ROUND($I2182/$G2182*$N$11,2)</f>
        <v>29492.16</v>
      </c>
      <c r="K2182" s="189">
        <f>ROUND(G2182*J2182,2)</f>
        <v>138.61000000000001</v>
      </c>
      <c r="L2182" s="189"/>
      <c r="M2182" s="138"/>
      <c r="N2182" s="138"/>
      <c r="O2182" s="138"/>
      <c r="S2182" s="72"/>
      <c r="T2182" s="72"/>
      <c r="U2182" s="72"/>
      <c r="V2182" s="72"/>
    </row>
    <row r="2183" spans="1:22" s="63" customFormat="1" ht="22.5" x14ac:dyDescent="0.25">
      <c r="A2183" s="87">
        <v>14.52</v>
      </c>
      <c r="B2183" s="81" t="s">
        <v>60</v>
      </c>
      <c r="C2183" s="80">
        <v>9.1999999999999993</v>
      </c>
      <c r="D2183" s="131" t="s">
        <v>607</v>
      </c>
      <c r="E2183" s="83" t="s">
        <v>608</v>
      </c>
      <c r="F2183" s="81" t="s">
        <v>213</v>
      </c>
      <c r="G2183" s="80">
        <v>9.4</v>
      </c>
      <c r="H2183" s="85"/>
      <c r="I2183" s="86">
        <v>762.97</v>
      </c>
      <c r="J2183" s="185">
        <f>ROUND($I2183/$G2183*$N$11,2)</f>
        <v>92.42</v>
      </c>
      <c r="K2183" s="189">
        <f>ROUND(G2183*J2183,2)</f>
        <v>868.75</v>
      </c>
      <c r="L2183" s="189"/>
      <c r="M2183" s="138"/>
      <c r="N2183" s="138"/>
      <c r="O2183" s="138"/>
      <c r="S2183" s="72"/>
      <c r="T2183" s="72"/>
      <c r="U2183" s="72"/>
      <c r="V2183" s="72"/>
    </row>
    <row r="2184" spans="1:22" s="128" customFormat="1" ht="12.75" x14ac:dyDescent="0.25">
      <c r="A2184" s="237"/>
      <c r="B2184" s="125"/>
      <c r="C2184" s="236"/>
      <c r="D2184" s="77"/>
      <c r="E2184" s="126" t="s">
        <v>3336</v>
      </c>
      <c r="F2184" s="125"/>
      <c r="G2184" s="236"/>
      <c r="H2184" s="127"/>
      <c r="I2184" s="78"/>
      <c r="J2184" s="238"/>
      <c r="K2184" s="239"/>
      <c r="L2184" s="239"/>
      <c r="M2184" s="79"/>
      <c r="N2184" s="79"/>
      <c r="O2184" s="79"/>
      <c r="S2184" s="129"/>
      <c r="T2184" s="129"/>
      <c r="U2184" s="129"/>
      <c r="V2184" s="129"/>
    </row>
    <row r="2185" spans="1:22" s="63" customFormat="1" ht="22.5" x14ac:dyDescent="0.25">
      <c r="A2185" s="87">
        <v>14.53</v>
      </c>
      <c r="B2185" s="81" t="s">
        <v>60</v>
      </c>
      <c r="C2185" s="82">
        <v>10</v>
      </c>
      <c r="D2185" s="131" t="s">
        <v>1939</v>
      </c>
      <c r="E2185" s="83" t="s">
        <v>1940</v>
      </c>
      <c r="F2185" s="81" t="s">
        <v>207</v>
      </c>
      <c r="G2185" s="84">
        <v>9.7000000000000003E-2</v>
      </c>
      <c r="H2185" s="85"/>
      <c r="I2185" s="86">
        <v>46496.04</v>
      </c>
      <c r="J2185" s="185">
        <f t="shared" ref="J2185:J2193" si="213">ROUND($I2185/$G2185*$N$11,2)</f>
        <v>545777.23</v>
      </c>
      <c r="K2185" s="189">
        <f t="shared" ref="K2185:K2193" si="214">ROUND(G2185*J2185,2)</f>
        <v>52940.39</v>
      </c>
      <c r="L2185" s="189"/>
      <c r="M2185" s="138"/>
      <c r="N2185" s="138"/>
      <c r="O2185" s="138"/>
      <c r="S2185" s="72"/>
      <c r="T2185" s="72"/>
      <c r="U2185" s="72"/>
      <c r="V2185" s="72"/>
    </row>
    <row r="2186" spans="1:22" s="63" customFormat="1" ht="22.5" x14ac:dyDescent="0.25">
      <c r="A2186" s="87">
        <v>14.54</v>
      </c>
      <c r="B2186" s="81" t="s">
        <v>60</v>
      </c>
      <c r="C2186" s="80">
        <v>10.1</v>
      </c>
      <c r="D2186" s="131" t="s">
        <v>607</v>
      </c>
      <c r="E2186" s="83" t="s">
        <v>608</v>
      </c>
      <c r="F2186" s="81" t="s">
        <v>213</v>
      </c>
      <c r="G2186" s="87">
        <v>1.94</v>
      </c>
      <c r="H2186" s="85"/>
      <c r="I2186" s="86">
        <v>157.44</v>
      </c>
      <c r="J2186" s="185">
        <f t="shared" si="213"/>
        <v>92.4</v>
      </c>
      <c r="K2186" s="189">
        <f t="shared" si="214"/>
        <v>179.26</v>
      </c>
      <c r="L2186" s="189"/>
      <c r="M2186" s="138"/>
      <c r="N2186" s="138"/>
      <c r="O2186" s="138"/>
      <c r="S2186" s="72"/>
      <c r="T2186" s="72"/>
      <c r="U2186" s="72"/>
      <c r="V2186" s="72"/>
    </row>
    <row r="2187" spans="1:22" s="63" customFormat="1" ht="22.5" x14ac:dyDescent="0.25">
      <c r="A2187" s="87">
        <v>14.55</v>
      </c>
      <c r="B2187" s="81" t="s">
        <v>60</v>
      </c>
      <c r="C2187" s="82">
        <v>11</v>
      </c>
      <c r="D2187" s="131" t="s">
        <v>1923</v>
      </c>
      <c r="E2187" s="83" t="s">
        <v>1941</v>
      </c>
      <c r="F2187" s="81" t="s">
        <v>207</v>
      </c>
      <c r="G2187" s="84">
        <v>1.0999999999999999E-2</v>
      </c>
      <c r="H2187" s="85"/>
      <c r="I2187" s="86">
        <v>3449.66</v>
      </c>
      <c r="J2187" s="185">
        <f t="shared" si="213"/>
        <v>357071.17</v>
      </c>
      <c r="K2187" s="189">
        <f t="shared" si="214"/>
        <v>3927.78</v>
      </c>
      <c r="L2187" s="189"/>
      <c r="M2187" s="138"/>
      <c r="N2187" s="138"/>
      <c r="O2187" s="138"/>
      <c r="S2187" s="72"/>
      <c r="T2187" s="72"/>
      <c r="U2187" s="72"/>
      <c r="V2187" s="72"/>
    </row>
    <row r="2188" spans="1:22" s="63" customFormat="1" ht="22.5" x14ac:dyDescent="0.25">
      <c r="A2188" s="87">
        <v>14.56</v>
      </c>
      <c r="B2188" s="81" t="s">
        <v>60</v>
      </c>
      <c r="C2188" s="80">
        <v>11.1</v>
      </c>
      <c r="D2188" s="131" t="s">
        <v>1925</v>
      </c>
      <c r="E2188" s="83" t="s">
        <v>1926</v>
      </c>
      <c r="F2188" s="81" t="s">
        <v>226</v>
      </c>
      <c r="G2188" s="84">
        <v>-1.6E-2</v>
      </c>
      <c r="H2188" s="85"/>
      <c r="I2188" s="86">
        <v>-100.34</v>
      </c>
      <c r="J2188" s="185">
        <f t="shared" si="213"/>
        <v>7140.45</v>
      </c>
      <c r="K2188" s="189">
        <f t="shared" si="214"/>
        <v>-114.25</v>
      </c>
      <c r="L2188" s="189"/>
      <c r="M2188" s="138"/>
      <c r="N2188" s="138"/>
      <c r="O2188" s="138"/>
      <c r="S2188" s="72"/>
      <c r="T2188" s="72"/>
      <c r="U2188" s="72"/>
      <c r="V2188" s="72"/>
    </row>
    <row r="2189" spans="1:22" s="63" customFormat="1" ht="22.5" x14ac:dyDescent="0.25">
      <c r="A2189" s="87">
        <v>14.57</v>
      </c>
      <c r="B2189" s="81" t="s">
        <v>60</v>
      </c>
      <c r="C2189" s="80">
        <v>11.2</v>
      </c>
      <c r="D2189" s="131" t="s">
        <v>1927</v>
      </c>
      <c r="E2189" s="83" t="s">
        <v>1928</v>
      </c>
      <c r="F2189" s="81" t="s">
        <v>205</v>
      </c>
      <c r="G2189" s="84">
        <v>-2.1999999999999999E-2</v>
      </c>
      <c r="H2189" s="85"/>
      <c r="I2189" s="86">
        <v>-124.85</v>
      </c>
      <c r="J2189" s="185">
        <f t="shared" si="213"/>
        <v>6461.56</v>
      </c>
      <c r="K2189" s="189">
        <f t="shared" si="214"/>
        <v>-142.15</v>
      </c>
      <c r="L2189" s="189"/>
      <c r="M2189" s="138"/>
      <c r="N2189" s="138"/>
      <c r="O2189" s="138"/>
      <c r="S2189" s="72"/>
      <c r="T2189" s="72"/>
      <c r="U2189" s="72"/>
      <c r="V2189" s="72"/>
    </row>
    <row r="2190" spans="1:22" s="63" customFormat="1" ht="22.5" x14ac:dyDescent="0.25">
      <c r="A2190" s="87">
        <v>14.58</v>
      </c>
      <c r="B2190" s="81" t="s">
        <v>60</v>
      </c>
      <c r="C2190" s="80">
        <v>11.3</v>
      </c>
      <c r="D2190" s="131" t="s">
        <v>1929</v>
      </c>
      <c r="E2190" s="83" t="s">
        <v>1930</v>
      </c>
      <c r="F2190" s="81" t="s">
        <v>210</v>
      </c>
      <c r="G2190" s="87">
        <v>4.07</v>
      </c>
      <c r="H2190" s="85"/>
      <c r="I2190" s="86">
        <v>129.74</v>
      </c>
      <c r="J2190" s="185">
        <f t="shared" si="213"/>
        <v>36.299999999999997</v>
      </c>
      <c r="K2190" s="189">
        <f t="shared" si="214"/>
        <v>147.74</v>
      </c>
      <c r="L2190" s="189"/>
      <c r="M2190" s="138"/>
      <c r="N2190" s="138"/>
      <c r="O2190" s="138"/>
      <c r="S2190" s="72"/>
      <c r="T2190" s="72"/>
      <c r="U2190" s="72"/>
      <c r="V2190" s="72"/>
    </row>
    <row r="2191" spans="1:22" s="63" customFormat="1" ht="22.5" x14ac:dyDescent="0.25">
      <c r="A2191" s="87">
        <v>14.59</v>
      </c>
      <c r="B2191" s="81" t="s">
        <v>60</v>
      </c>
      <c r="C2191" s="80">
        <v>11.4</v>
      </c>
      <c r="D2191" s="131" t="s">
        <v>1931</v>
      </c>
      <c r="E2191" s="83" t="s">
        <v>1932</v>
      </c>
      <c r="F2191" s="81" t="s">
        <v>226</v>
      </c>
      <c r="G2191" s="87">
        <v>0.04</v>
      </c>
      <c r="H2191" s="85"/>
      <c r="I2191" s="86">
        <v>4384.5</v>
      </c>
      <c r="J2191" s="185">
        <f t="shared" si="213"/>
        <v>124804.79</v>
      </c>
      <c r="K2191" s="189">
        <f t="shared" si="214"/>
        <v>4992.1899999999996</v>
      </c>
      <c r="L2191" s="189"/>
      <c r="M2191" s="138"/>
      <c r="N2191" s="138"/>
      <c r="O2191" s="138"/>
      <c r="S2191" s="72"/>
      <c r="T2191" s="72"/>
      <c r="U2191" s="72"/>
      <c r="V2191" s="72"/>
    </row>
    <row r="2192" spans="1:22" s="63" customFormat="1" ht="22.5" x14ac:dyDescent="0.25">
      <c r="A2192" s="87">
        <v>14.6</v>
      </c>
      <c r="B2192" s="81" t="s">
        <v>60</v>
      </c>
      <c r="C2192" s="80">
        <v>11.5</v>
      </c>
      <c r="D2192" s="131" t="s">
        <v>1933</v>
      </c>
      <c r="E2192" s="83" t="s">
        <v>1934</v>
      </c>
      <c r="F2192" s="81" t="s">
        <v>370</v>
      </c>
      <c r="G2192" s="84">
        <v>1.0999999999999999E-2</v>
      </c>
      <c r="H2192" s="85"/>
      <c r="I2192" s="86">
        <v>11.72</v>
      </c>
      <c r="J2192" s="185">
        <f t="shared" si="213"/>
        <v>1213.1300000000001</v>
      </c>
      <c r="K2192" s="189">
        <f t="shared" si="214"/>
        <v>13.34</v>
      </c>
      <c r="L2192" s="189"/>
      <c r="M2192" s="138"/>
      <c r="N2192" s="138"/>
      <c r="O2192" s="138"/>
      <c r="S2192" s="72"/>
      <c r="T2192" s="72"/>
      <c r="U2192" s="72"/>
      <c r="V2192" s="72"/>
    </row>
    <row r="2193" spans="1:22" s="63" customFormat="1" ht="22.5" x14ac:dyDescent="0.25">
      <c r="A2193" s="87">
        <v>14.61</v>
      </c>
      <c r="B2193" s="81" t="s">
        <v>60</v>
      </c>
      <c r="C2193" s="80">
        <v>11.6</v>
      </c>
      <c r="D2193" s="131" t="s">
        <v>607</v>
      </c>
      <c r="E2193" s="83" t="s">
        <v>608</v>
      </c>
      <c r="F2193" s="81" t="s">
        <v>213</v>
      </c>
      <c r="G2193" s="87">
        <v>0.22</v>
      </c>
      <c r="H2193" s="85"/>
      <c r="I2193" s="86">
        <v>17.850000000000001</v>
      </c>
      <c r="J2193" s="185">
        <f t="shared" si="213"/>
        <v>92.38</v>
      </c>
      <c r="K2193" s="189">
        <f t="shared" si="214"/>
        <v>20.32</v>
      </c>
      <c r="L2193" s="189"/>
      <c r="M2193" s="138"/>
      <c r="N2193" s="138"/>
      <c r="O2193" s="138"/>
      <c r="S2193" s="72"/>
      <c r="T2193" s="72"/>
      <c r="U2193" s="72"/>
      <c r="V2193" s="72"/>
    </row>
    <row r="2194" spans="1:22" s="128" customFormat="1" ht="12.75" x14ac:dyDescent="0.25">
      <c r="A2194" s="237"/>
      <c r="B2194" s="125"/>
      <c r="C2194" s="236"/>
      <c r="D2194" s="77"/>
      <c r="E2194" s="126" t="s">
        <v>3337</v>
      </c>
      <c r="F2194" s="125"/>
      <c r="G2194" s="237"/>
      <c r="H2194" s="127"/>
      <c r="I2194" s="78"/>
      <c r="J2194" s="238"/>
      <c r="K2194" s="239"/>
      <c r="L2194" s="239"/>
      <c r="M2194" s="79"/>
      <c r="N2194" s="79"/>
      <c r="O2194" s="79"/>
      <c r="S2194" s="129"/>
      <c r="T2194" s="129"/>
      <c r="U2194" s="129"/>
      <c r="V2194" s="129"/>
    </row>
    <row r="2195" spans="1:22" s="63" customFormat="1" ht="15" x14ac:dyDescent="0.25">
      <c r="A2195" s="87">
        <v>14.62</v>
      </c>
      <c r="B2195" s="81" t="s">
        <v>60</v>
      </c>
      <c r="C2195" s="82">
        <v>12</v>
      </c>
      <c r="D2195" s="131" t="s">
        <v>381</v>
      </c>
      <c r="E2195" s="83" t="s">
        <v>382</v>
      </c>
      <c r="F2195" s="81" t="s">
        <v>207</v>
      </c>
      <c r="G2195" s="87">
        <v>0.94</v>
      </c>
      <c r="H2195" s="85"/>
      <c r="I2195" s="86">
        <v>35825.43</v>
      </c>
      <c r="J2195" s="185">
        <f t="shared" ref="J2195:J2211" si="215">ROUND($I2195/$G2195*$N$11,2)</f>
        <v>43394.5</v>
      </c>
      <c r="K2195" s="189">
        <f t="shared" ref="K2195:K2211" si="216">ROUND(G2195*J2195,2)</f>
        <v>40790.83</v>
      </c>
      <c r="L2195" s="189"/>
      <c r="M2195" s="138"/>
      <c r="N2195" s="138"/>
      <c r="O2195" s="138"/>
      <c r="S2195" s="72"/>
      <c r="T2195" s="72"/>
      <c r="U2195" s="72"/>
      <c r="V2195" s="72"/>
    </row>
    <row r="2196" spans="1:22" s="63" customFormat="1" ht="22.5" x14ac:dyDescent="0.25">
      <c r="A2196" s="87">
        <v>14.63</v>
      </c>
      <c r="B2196" s="81" t="s">
        <v>60</v>
      </c>
      <c r="C2196" s="80">
        <v>12.1</v>
      </c>
      <c r="D2196" s="131" t="s">
        <v>385</v>
      </c>
      <c r="E2196" s="83" t="s">
        <v>386</v>
      </c>
      <c r="F2196" s="81" t="s">
        <v>207</v>
      </c>
      <c r="G2196" s="87">
        <v>0.94</v>
      </c>
      <c r="H2196" s="85"/>
      <c r="I2196" s="86">
        <v>2171.59</v>
      </c>
      <c r="J2196" s="185">
        <f t="shared" si="215"/>
        <v>2630.4</v>
      </c>
      <c r="K2196" s="189">
        <f t="shared" si="216"/>
        <v>2472.58</v>
      </c>
      <c r="L2196" s="189"/>
      <c r="M2196" s="138"/>
      <c r="N2196" s="138"/>
      <c r="O2196" s="138"/>
      <c r="S2196" s="72"/>
      <c r="T2196" s="72"/>
      <c r="U2196" s="72"/>
      <c r="V2196" s="72"/>
    </row>
    <row r="2197" spans="1:22" s="63" customFormat="1" ht="22.5" x14ac:dyDescent="0.25">
      <c r="A2197" s="87">
        <v>14.64</v>
      </c>
      <c r="B2197" s="81" t="s">
        <v>60</v>
      </c>
      <c r="C2197" s="80">
        <v>12.2</v>
      </c>
      <c r="D2197" s="131" t="s">
        <v>383</v>
      </c>
      <c r="E2197" s="83" t="s">
        <v>384</v>
      </c>
      <c r="F2197" s="81" t="s">
        <v>205</v>
      </c>
      <c r="G2197" s="88">
        <v>3.3557999999999999</v>
      </c>
      <c r="H2197" s="85"/>
      <c r="I2197" s="86">
        <v>25087.599999999999</v>
      </c>
      <c r="J2197" s="185">
        <f t="shared" si="215"/>
        <v>8512.0499999999993</v>
      </c>
      <c r="K2197" s="189">
        <f t="shared" si="216"/>
        <v>28564.74</v>
      </c>
      <c r="L2197" s="189"/>
      <c r="M2197" s="138"/>
      <c r="N2197" s="138"/>
      <c r="O2197" s="138"/>
      <c r="S2197" s="72"/>
      <c r="T2197" s="72"/>
      <c r="U2197" s="72"/>
      <c r="V2197" s="72"/>
    </row>
    <row r="2198" spans="1:22" s="63" customFormat="1" ht="22.5" x14ac:dyDescent="0.25">
      <c r="A2198" s="87">
        <v>14.65</v>
      </c>
      <c r="B2198" s="81" t="s">
        <v>60</v>
      </c>
      <c r="C2198" s="82">
        <v>13</v>
      </c>
      <c r="D2198" s="131" t="s">
        <v>1942</v>
      </c>
      <c r="E2198" s="83" t="s">
        <v>1943</v>
      </c>
      <c r="F2198" s="81" t="s">
        <v>207</v>
      </c>
      <c r="G2198" s="84">
        <v>0.56599999999999995</v>
      </c>
      <c r="H2198" s="85"/>
      <c r="I2198" s="86">
        <v>3178.66</v>
      </c>
      <c r="J2198" s="185">
        <f t="shared" si="215"/>
        <v>6394.39</v>
      </c>
      <c r="K2198" s="189">
        <f t="shared" si="216"/>
        <v>3619.22</v>
      </c>
      <c r="L2198" s="189"/>
      <c r="M2198" s="138"/>
      <c r="N2198" s="138"/>
      <c r="O2198" s="138"/>
      <c r="S2198" s="72"/>
      <c r="T2198" s="72"/>
      <c r="U2198" s="72"/>
      <c r="V2198" s="72"/>
    </row>
    <row r="2199" spans="1:22" s="63" customFormat="1" ht="15" x14ac:dyDescent="0.25">
      <c r="A2199" s="87">
        <v>14.66</v>
      </c>
      <c r="B2199" s="81" t="s">
        <v>60</v>
      </c>
      <c r="C2199" s="82">
        <v>14</v>
      </c>
      <c r="D2199" s="131" t="s">
        <v>1944</v>
      </c>
      <c r="E2199" s="83" t="s">
        <v>1945</v>
      </c>
      <c r="F2199" s="81" t="s">
        <v>207</v>
      </c>
      <c r="G2199" s="84">
        <v>0.56599999999999995</v>
      </c>
      <c r="H2199" s="85"/>
      <c r="I2199" s="86">
        <v>157102.04</v>
      </c>
      <c r="J2199" s="185">
        <f t="shared" si="215"/>
        <v>316036.01</v>
      </c>
      <c r="K2199" s="189">
        <f t="shared" si="216"/>
        <v>178876.38</v>
      </c>
      <c r="L2199" s="189"/>
      <c r="M2199" s="138"/>
      <c r="N2199" s="138"/>
      <c r="O2199" s="138"/>
      <c r="S2199" s="72"/>
      <c r="T2199" s="72"/>
      <c r="U2199" s="72"/>
      <c r="V2199" s="72"/>
    </row>
    <row r="2200" spans="1:22" s="63" customFormat="1" ht="22.5" x14ac:dyDescent="0.25">
      <c r="A2200" s="87">
        <v>14.67</v>
      </c>
      <c r="B2200" s="81" t="s">
        <v>60</v>
      </c>
      <c r="C2200" s="80">
        <v>14.1</v>
      </c>
      <c r="D2200" s="131" t="s">
        <v>1933</v>
      </c>
      <c r="E2200" s="83" t="s">
        <v>1934</v>
      </c>
      <c r="F2200" s="81" t="s">
        <v>370</v>
      </c>
      <c r="G2200" s="80">
        <v>56.6</v>
      </c>
      <c r="H2200" s="85"/>
      <c r="I2200" s="86">
        <v>60202.400000000001</v>
      </c>
      <c r="J2200" s="185">
        <f t="shared" si="215"/>
        <v>1211.07</v>
      </c>
      <c r="K2200" s="189">
        <f t="shared" si="216"/>
        <v>68546.559999999998</v>
      </c>
      <c r="L2200" s="189"/>
      <c r="M2200" s="138"/>
      <c r="N2200" s="138"/>
      <c r="O2200" s="138"/>
      <c r="S2200" s="72"/>
      <c r="T2200" s="72"/>
      <c r="U2200" s="72"/>
      <c r="V2200" s="72"/>
    </row>
    <row r="2201" spans="1:22" s="63" customFormat="1" ht="22.5" x14ac:dyDescent="0.25">
      <c r="A2201" s="87">
        <v>14.68</v>
      </c>
      <c r="B2201" s="81" t="s">
        <v>60</v>
      </c>
      <c r="C2201" s="80">
        <v>14.2</v>
      </c>
      <c r="D2201" s="131" t="s">
        <v>1931</v>
      </c>
      <c r="E2201" s="83" t="s">
        <v>1946</v>
      </c>
      <c r="F2201" s="81" t="s">
        <v>226</v>
      </c>
      <c r="G2201" s="88">
        <v>5.6599999999999998E-2</v>
      </c>
      <c r="H2201" s="85"/>
      <c r="I2201" s="86">
        <v>6204.01</v>
      </c>
      <c r="J2201" s="185">
        <f t="shared" si="215"/>
        <v>124803.64</v>
      </c>
      <c r="K2201" s="189">
        <f t="shared" si="216"/>
        <v>7063.89</v>
      </c>
      <c r="L2201" s="189"/>
      <c r="M2201" s="138"/>
      <c r="N2201" s="138"/>
      <c r="O2201" s="138"/>
      <c r="S2201" s="72"/>
      <c r="T2201" s="72"/>
      <c r="U2201" s="72"/>
      <c r="V2201" s="72"/>
    </row>
    <row r="2202" spans="1:22" s="63" customFormat="1" ht="22.5" x14ac:dyDescent="0.25">
      <c r="A2202" s="87">
        <v>14.69</v>
      </c>
      <c r="B2202" s="81" t="s">
        <v>60</v>
      </c>
      <c r="C2202" s="80">
        <v>14.3</v>
      </c>
      <c r="D2202" s="131" t="s">
        <v>1929</v>
      </c>
      <c r="E2202" s="83" t="s">
        <v>1947</v>
      </c>
      <c r="F2202" s="81" t="s">
        <v>210</v>
      </c>
      <c r="G2202" s="87">
        <v>209.42</v>
      </c>
      <c r="H2202" s="85"/>
      <c r="I2202" s="86">
        <v>6676.16</v>
      </c>
      <c r="J2202" s="185">
        <f t="shared" si="215"/>
        <v>36.299999999999997</v>
      </c>
      <c r="K2202" s="189">
        <f t="shared" si="216"/>
        <v>7601.95</v>
      </c>
      <c r="L2202" s="189"/>
      <c r="M2202" s="138"/>
      <c r="N2202" s="138"/>
      <c r="O2202" s="138"/>
      <c r="S2202" s="72"/>
      <c r="T2202" s="72"/>
      <c r="U2202" s="72"/>
      <c r="V2202" s="72"/>
    </row>
    <row r="2203" spans="1:22" s="63" customFormat="1" ht="22.5" x14ac:dyDescent="0.25">
      <c r="A2203" s="87">
        <v>14.7</v>
      </c>
      <c r="B2203" s="81" t="s">
        <v>60</v>
      </c>
      <c r="C2203" s="82">
        <v>15</v>
      </c>
      <c r="D2203" s="131" t="s">
        <v>624</v>
      </c>
      <c r="E2203" s="83" t="s">
        <v>625</v>
      </c>
      <c r="F2203" s="81" t="s">
        <v>207</v>
      </c>
      <c r="G2203" s="87">
        <v>0.25</v>
      </c>
      <c r="H2203" s="85"/>
      <c r="I2203" s="86">
        <v>7391.23</v>
      </c>
      <c r="J2203" s="185">
        <f t="shared" si="215"/>
        <v>33662.620000000003</v>
      </c>
      <c r="K2203" s="189">
        <f t="shared" si="216"/>
        <v>8415.66</v>
      </c>
      <c r="L2203" s="189"/>
      <c r="M2203" s="138"/>
      <c r="N2203" s="138"/>
      <c r="O2203" s="138"/>
      <c r="S2203" s="72"/>
      <c r="T2203" s="72"/>
      <c r="U2203" s="72"/>
      <c r="V2203" s="72"/>
    </row>
    <row r="2204" spans="1:22" s="63" customFormat="1" ht="22.5" x14ac:dyDescent="0.25">
      <c r="A2204" s="87">
        <v>14.71</v>
      </c>
      <c r="B2204" s="81" t="s">
        <v>60</v>
      </c>
      <c r="C2204" s="80">
        <v>15.1</v>
      </c>
      <c r="D2204" s="131" t="s">
        <v>626</v>
      </c>
      <c r="E2204" s="83" t="s">
        <v>627</v>
      </c>
      <c r="F2204" s="81" t="s">
        <v>226</v>
      </c>
      <c r="G2204" s="88">
        <v>0.21249999999999999</v>
      </c>
      <c r="H2204" s="85"/>
      <c r="I2204" s="86">
        <v>2280.4699999999998</v>
      </c>
      <c r="J2204" s="185">
        <f t="shared" si="215"/>
        <v>12219.03</v>
      </c>
      <c r="K2204" s="189">
        <f t="shared" si="216"/>
        <v>2596.54</v>
      </c>
      <c r="L2204" s="189"/>
      <c r="M2204" s="138"/>
      <c r="N2204" s="138"/>
      <c r="O2204" s="138"/>
      <c r="S2204" s="72"/>
      <c r="T2204" s="72"/>
      <c r="U2204" s="72"/>
      <c r="V2204" s="72"/>
    </row>
    <row r="2205" spans="1:22" s="63" customFormat="1" ht="22.5" x14ac:dyDescent="0.25">
      <c r="A2205" s="87">
        <v>14.72</v>
      </c>
      <c r="B2205" s="81" t="s">
        <v>60</v>
      </c>
      <c r="C2205" s="80">
        <v>15.2</v>
      </c>
      <c r="D2205" s="131" t="s">
        <v>1948</v>
      </c>
      <c r="E2205" s="83" t="s">
        <v>1949</v>
      </c>
      <c r="F2205" s="81" t="s">
        <v>226</v>
      </c>
      <c r="G2205" s="84">
        <v>5.0000000000000001E-3</v>
      </c>
      <c r="H2205" s="85"/>
      <c r="I2205" s="86">
        <v>1356.6</v>
      </c>
      <c r="J2205" s="185">
        <f t="shared" si="215"/>
        <v>308924.95</v>
      </c>
      <c r="K2205" s="189">
        <f t="shared" si="216"/>
        <v>1544.62</v>
      </c>
      <c r="L2205" s="189"/>
      <c r="M2205" s="138"/>
      <c r="N2205" s="138"/>
      <c r="O2205" s="138"/>
      <c r="S2205" s="72"/>
      <c r="T2205" s="72"/>
      <c r="U2205" s="72"/>
      <c r="V2205" s="72"/>
    </row>
    <row r="2206" spans="1:22" s="63" customFormat="1" ht="22.5" x14ac:dyDescent="0.25">
      <c r="A2206" s="87">
        <v>14.73</v>
      </c>
      <c r="B2206" s="81" t="s">
        <v>60</v>
      </c>
      <c r="C2206" s="82">
        <v>16</v>
      </c>
      <c r="D2206" s="131" t="s">
        <v>630</v>
      </c>
      <c r="E2206" s="83" t="s">
        <v>631</v>
      </c>
      <c r="F2206" s="81" t="s">
        <v>207</v>
      </c>
      <c r="G2206" s="87">
        <v>0.25</v>
      </c>
      <c r="H2206" s="85"/>
      <c r="I2206" s="86">
        <v>3988.04</v>
      </c>
      <c r="J2206" s="185">
        <f t="shared" si="215"/>
        <v>18163.13</v>
      </c>
      <c r="K2206" s="189">
        <f t="shared" si="216"/>
        <v>4540.78</v>
      </c>
      <c r="L2206" s="189"/>
      <c r="M2206" s="138"/>
      <c r="N2206" s="138"/>
      <c r="O2206" s="138"/>
      <c r="S2206" s="72"/>
      <c r="T2206" s="72"/>
      <c r="U2206" s="72"/>
      <c r="V2206" s="72"/>
    </row>
    <row r="2207" spans="1:22" s="63" customFormat="1" ht="22.5" x14ac:dyDescent="0.25">
      <c r="A2207" s="87">
        <v>14.74</v>
      </c>
      <c r="B2207" s="81" t="s">
        <v>60</v>
      </c>
      <c r="C2207" s="80">
        <v>16.100000000000001</v>
      </c>
      <c r="D2207" s="131" t="s">
        <v>1950</v>
      </c>
      <c r="E2207" s="83" t="s">
        <v>1951</v>
      </c>
      <c r="F2207" s="81" t="s">
        <v>226</v>
      </c>
      <c r="G2207" s="89">
        <v>-7.2500000000000004E-3</v>
      </c>
      <c r="H2207" s="85"/>
      <c r="I2207" s="86">
        <v>-221.11</v>
      </c>
      <c r="J2207" s="185">
        <f t="shared" si="215"/>
        <v>34724.94</v>
      </c>
      <c r="K2207" s="189">
        <f t="shared" si="216"/>
        <v>-251.76</v>
      </c>
      <c r="L2207" s="189"/>
      <c r="M2207" s="138"/>
      <c r="N2207" s="138"/>
      <c r="O2207" s="138"/>
      <c r="S2207" s="72"/>
      <c r="T2207" s="72"/>
      <c r="U2207" s="72"/>
      <c r="V2207" s="72"/>
    </row>
    <row r="2208" spans="1:22" s="63" customFormat="1" ht="22.5" x14ac:dyDescent="0.25">
      <c r="A2208" s="87">
        <v>14.75</v>
      </c>
      <c r="B2208" s="81" t="s">
        <v>60</v>
      </c>
      <c r="C2208" s="80">
        <v>16.2</v>
      </c>
      <c r="D2208" s="131" t="s">
        <v>1952</v>
      </c>
      <c r="E2208" s="83" t="s">
        <v>1953</v>
      </c>
      <c r="F2208" s="81" t="s">
        <v>226</v>
      </c>
      <c r="G2208" s="87">
        <v>0.03</v>
      </c>
      <c r="H2208" s="85"/>
      <c r="I2208" s="86">
        <v>2115.75</v>
      </c>
      <c r="J2208" s="185">
        <f t="shared" si="215"/>
        <v>80299.77</v>
      </c>
      <c r="K2208" s="189">
        <f t="shared" si="216"/>
        <v>2408.9899999999998</v>
      </c>
      <c r="L2208" s="189"/>
      <c r="M2208" s="138"/>
      <c r="N2208" s="138"/>
      <c r="O2208" s="138"/>
      <c r="S2208" s="72"/>
      <c r="T2208" s="72"/>
      <c r="U2208" s="72"/>
      <c r="V2208" s="72"/>
    </row>
    <row r="2209" spans="1:22" s="63" customFormat="1" ht="22.5" x14ac:dyDescent="0.25">
      <c r="A2209" s="87">
        <v>14.76</v>
      </c>
      <c r="B2209" s="81" t="s">
        <v>60</v>
      </c>
      <c r="C2209" s="82">
        <v>17</v>
      </c>
      <c r="D2209" s="131" t="s">
        <v>1954</v>
      </c>
      <c r="E2209" s="83" t="s">
        <v>1955</v>
      </c>
      <c r="F2209" s="81" t="s">
        <v>207</v>
      </c>
      <c r="G2209" s="87">
        <v>0.25</v>
      </c>
      <c r="H2209" s="85"/>
      <c r="I2209" s="86">
        <v>3144.06</v>
      </c>
      <c r="J2209" s="185">
        <f t="shared" si="215"/>
        <v>14319.31</v>
      </c>
      <c r="K2209" s="189">
        <f t="shared" si="216"/>
        <v>3579.83</v>
      </c>
      <c r="L2209" s="189"/>
      <c r="M2209" s="138"/>
      <c r="N2209" s="138"/>
      <c r="O2209" s="138"/>
      <c r="S2209" s="72"/>
      <c r="T2209" s="72"/>
      <c r="U2209" s="72"/>
      <c r="V2209" s="72"/>
    </row>
    <row r="2210" spans="1:22" s="63" customFormat="1" ht="22.5" x14ac:dyDescent="0.25">
      <c r="A2210" s="87">
        <v>14.77</v>
      </c>
      <c r="B2210" s="81" t="s">
        <v>60</v>
      </c>
      <c r="C2210" s="80">
        <v>17.100000000000001</v>
      </c>
      <c r="D2210" s="131" t="s">
        <v>1956</v>
      </c>
      <c r="E2210" s="83" t="s">
        <v>1957</v>
      </c>
      <c r="F2210" s="81" t="s">
        <v>226</v>
      </c>
      <c r="G2210" s="88">
        <v>9.4999999999999998E-3</v>
      </c>
      <c r="H2210" s="85"/>
      <c r="I2210" s="86">
        <v>2944.52</v>
      </c>
      <c r="J2210" s="185">
        <f t="shared" si="215"/>
        <v>352908.47</v>
      </c>
      <c r="K2210" s="189">
        <f t="shared" si="216"/>
        <v>3352.63</v>
      </c>
      <c r="L2210" s="189"/>
      <c r="M2210" s="138"/>
      <c r="N2210" s="138"/>
      <c r="O2210" s="138"/>
      <c r="S2210" s="72"/>
      <c r="T2210" s="72"/>
      <c r="U2210" s="72"/>
      <c r="V2210" s="72"/>
    </row>
    <row r="2211" spans="1:22" s="63" customFormat="1" ht="22.5" x14ac:dyDescent="0.25">
      <c r="A2211" s="87">
        <v>14.78</v>
      </c>
      <c r="B2211" s="81" t="s">
        <v>60</v>
      </c>
      <c r="C2211" s="80">
        <v>17.2</v>
      </c>
      <c r="D2211" s="131" t="s">
        <v>1948</v>
      </c>
      <c r="E2211" s="83" t="s">
        <v>1949</v>
      </c>
      <c r="F2211" s="81" t="s">
        <v>226</v>
      </c>
      <c r="G2211" s="89">
        <v>3.2499999999999999E-3</v>
      </c>
      <c r="H2211" s="85"/>
      <c r="I2211" s="86">
        <v>881.78</v>
      </c>
      <c r="J2211" s="185">
        <f t="shared" si="215"/>
        <v>308921.45</v>
      </c>
      <c r="K2211" s="189">
        <f t="shared" si="216"/>
        <v>1003.99</v>
      </c>
      <c r="L2211" s="189"/>
      <c r="M2211" s="138"/>
      <c r="N2211" s="138"/>
      <c r="O2211" s="138"/>
      <c r="S2211" s="72"/>
      <c r="T2211" s="72"/>
      <c r="U2211" s="72"/>
      <c r="V2211" s="72"/>
    </row>
    <row r="2212" spans="1:22" s="128" customFormat="1" ht="12.75" x14ac:dyDescent="0.25">
      <c r="A2212" s="237"/>
      <c r="B2212" s="125"/>
      <c r="C2212" s="236"/>
      <c r="D2212" s="77"/>
      <c r="E2212" s="126" t="s">
        <v>3338</v>
      </c>
      <c r="F2212" s="125"/>
      <c r="G2212" s="243"/>
      <c r="H2212" s="127"/>
      <c r="I2212" s="78"/>
      <c r="J2212" s="238"/>
      <c r="K2212" s="239"/>
      <c r="L2212" s="239"/>
      <c r="M2212" s="79"/>
      <c r="N2212" s="79"/>
      <c r="O2212" s="79"/>
      <c r="S2212" s="129"/>
      <c r="T2212" s="129"/>
      <c r="U2212" s="129"/>
      <c r="V2212" s="129"/>
    </row>
    <row r="2213" spans="1:22" s="63" customFormat="1" ht="22.5" x14ac:dyDescent="0.25">
      <c r="A2213" s="87">
        <v>14.79</v>
      </c>
      <c r="B2213" s="81" t="s">
        <v>60</v>
      </c>
      <c r="C2213" s="82">
        <v>18</v>
      </c>
      <c r="D2213" s="131" t="s">
        <v>1939</v>
      </c>
      <c r="E2213" s="83" t="s">
        <v>1940</v>
      </c>
      <c r="F2213" s="81" t="s">
        <v>207</v>
      </c>
      <c r="G2213" s="87">
        <v>0.61</v>
      </c>
      <c r="H2213" s="85"/>
      <c r="I2213" s="86">
        <v>292400.83</v>
      </c>
      <c r="J2213" s="185">
        <f t="shared" ref="J2213:J2223" si="217">ROUND($I2213/$G2213*$N$11,2)</f>
        <v>545782.93000000005</v>
      </c>
      <c r="K2213" s="189">
        <f t="shared" ref="K2213:K2223" si="218">ROUND(G2213*J2213,2)</f>
        <v>332927.59000000003</v>
      </c>
      <c r="L2213" s="189"/>
      <c r="M2213" s="138"/>
      <c r="N2213" s="138"/>
      <c r="O2213" s="138"/>
      <c r="S2213" s="72"/>
      <c r="T2213" s="72"/>
      <c r="U2213" s="72"/>
      <c r="V2213" s="72"/>
    </row>
    <row r="2214" spans="1:22" s="63" customFormat="1" ht="22.5" x14ac:dyDescent="0.25">
      <c r="A2214" s="87">
        <v>14.8</v>
      </c>
      <c r="B2214" s="81" t="s">
        <v>60</v>
      </c>
      <c r="C2214" s="80">
        <v>18.100000000000001</v>
      </c>
      <c r="D2214" s="131" t="s">
        <v>607</v>
      </c>
      <c r="E2214" s="83" t="s">
        <v>608</v>
      </c>
      <c r="F2214" s="81" t="s">
        <v>213</v>
      </c>
      <c r="G2214" s="80">
        <v>12.2</v>
      </c>
      <c r="H2214" s="85"/>
      <c r="I2214" s="86">
        <v>990.21</v>
      </c>
      <c r="J2214" s="185">
        <f t="shared" si="217"/>
        <v>92.41</v>
      </c>
      <c r="K2214" s="189">
        <f t="shared" si="218"/>
        <v>1127.4000000000001</v>
      </c>
      <c r="L2214" s="189"/>
      <c r="M2214" s="138"/>
      <c r="N2214" s="138"/>
      <c r="O2214" s="138"/>
      <c r="S2214" s="72"/>
      <c r="T2214" s="72"/>
      <c r="U2214" s="72"/>
      <c r="V2214" s="72"/>
    </row>
    <row r="2215" spans="1:22" s="63" customFormat="1" ht="22.5" x14ac:dyDescent="0.25">
      <c r="A2215" s="87">
        <v>14.81</v>
      </c>
      <c r="B2215" s="81" t="s">
        <v>60</v>
      </c>
      <c r="C2215" s="82">
        <v>19</v>
      </c>
      <c r="D2215" s="131" t="s">
        <v>1958</v>
      </c>
      <c r="E2215" s="83" t="s">
        <v>1959</v>
      </c>
      <c r="F2215" s="81" t="s">
        <v>207</v>
      </c>
      <c r="G2215" s="87">
        <v>1.04</v>
      </c>
      <c r="H2215" s="85"/>
      <c r="I2215" s="86">
        <v>35628.019999999997</v>
      </c>
      <c r="J2215" s="185">
        <f t="shared" si="217"/>
        <v>39005.83</v>
      </c>
      <c r="K2215" s="189">
        <f t="shared" si="218"/>
        <v>40566.06</v>
      </c>
      <c r="L2215" s="189"/>
      <c r="M2215" s="138"/>
      <c r="N2215" s="138"/>
      <c r="O2215" s="138"/>
      <c r="S2215" s="72"/>
      <c r="T2215" s="72"/>
      <c r="U2215" s="72"/>
      <c r="V2215" s="72"/>
    </row>
    <row r="2216" spans="1:22" s="63" customFormat="1" ht="22.5" x14ac:dyDescent="0.25">
      <c r="A2216" s="87">
        <v>14.82</v>
      </c>
      <c r="B2216" s="81" t="s">
        <v>60</v>
      </c>
      <c r="C2216" s="80">
        <v>19.100000000000001</v>
      </c>
      <c r="D2216" s="131" t="s">
        <v>626</v>
      </c>
      <c r="E2216" s="83" t="s">
        <v>627</v>
      </c>
      <c r="F2216" s="81" t="s">
        <v>226</v>
      </c>
      <c r="G2216" s="89">
        <v>0.93703999999999998</v>
      </c>
      <c r="H2216" s="85"/>
      <c r="I2216" s="86">
        <v>10055.98</v>
      </c>
      <c r="J2216" s="185">
        <f t="shared" si="217"/>
        <v>12219.05</v>
      </c>
      <c r="K2216" s="189">
        <f t="shared" si="218"/>
        <v>11449.74</v>
      </c>
      <c r="L2216" s="189"/>
      <c r="M2216" s="138"/>
      <c r="N2216" s="138"/>
      <c r="O2216" s="138"/>
      <c r="S2216" s="72"/>
      <c r="T2216" s="72"/>
      <c r="U2216" s="72"/>
      <c r="V2216" s="72"/>
    </row>
    <row r="2217" spans="1:22" s="63" customFormat="1" ht="22.5" x14ac:dyDescent="0.25">
      <c r="A2217" s="87">
        <v>14.83</v>
      </c>
      <c r="B2217" s="81" t="s">
        <v>60</v>
      </c>
      <c r="C2217" s="80">
        <v>19.2</v>
      </c>
      <c r="D2217" s="131" t="s">
        <v>1948</v>
      </c>
      <c r="E2217" s="83" t="s">
        <v>1949</v>
      </c>
      <c r="F2217" s="81" t="s">
        <v>226</v>
      </c>
      <c r="G2217" s="88">
        <v>2.0799999999999999E-2</v>
      </c>
      <c r="H2217" s="85"/>
      <c r="I2217" s="86">
        <v>5643.51</v>
      </c>
      <c r="J2217" s="185">
        <f t="shared" si="217"/>
        <v>308927.90999999997</v>
      </c>
      <c r="K2217" s="189">
        <f t="shared" si="218"/>
        <v>6425.7</v>
      </c>
      <c r="L2217" s="189"/>
      <c r="M2217" s="138"/>
      <c r="N2217" s="138"/>
      <c r="O2217" s="138"/>
      <c r="S2217" s="72"/>
      <c r="T2217" s="72"/>
      <c r="U2217" s="72"/>
      <c r="V2217" s="72"/>
    </row>
    <row r="2218" spans="1:22" s="63" customFormat="1" ht="22.5" x14ac:dyDescent="0.25">
      <c r="A2218" s="87">
        <v>14.84</v>
      </c>
      <c r="B2218" s="81" t="s">
        <v>60</v>
      </c>
      <c r="C2218" s="82">
        <v>20</v>
      </c>
      <c r="D2218" s="131" t="s">
        <v>630</v>
      </c>
      <c r="E2218" s="83" t="s">
        <v>631</v>
      </c>
      <c r="F2218" s="81" t="s">
        <v>207</v>
      </c>
      <c r="G2218" s="87">
        <v>1.04</v>
      </c>
      <c r="H2218" s="85"/>
      <c r="I2218" s="86">
        <v>16588.57</v>
      </c>
      <c r="J2218" s="185">
        <f t="shared" si="217"/>
        <v>18161.29</v>
      </c>
      <c r="K2218" s="189">
        <f t="shared" si="218"/>
        <v>18887.740000000002</v>
      </c>
      <c r="L2218" s="189"/>
      <c r="M2218" s="138"/>
      <c r="N2218" s="138"/>
      <c r="O2218" s="138"/>
      <c r="S2218" s="72"/>
      <c r="T2218" s="72"/>
      <c r="U2218" s="72"/>
      <c r="V2218" s="72"/>
    </row>
    <row r="2219" spans="1:22" s="63" customFormat="1" ht="22.5" x14ac:dyDescent="0.25">
      <c r="A2219" s="87">
        <v>14.85</v>
      </c>
      <c r="B2219" s="81" t="s">
        <v>60</v>
      </c>
      <c r="C2219" s="80">
        <v>20.100000000000001</v>
      </c>
      <c r="D2219" s="131" t="s">
        <v>1950</v>
      </c>
      <c r="E2219" s="83" t="s">
        <v>1951</v>
      </c>
      <c r="F2219" s="81" t="s">
        <v>226</v>
      </c>
      <c r="G2219" s="89">
        <v>-0.93703999999999998</v>
      </c>
      <c r="H2219" s="85"/>
      <c r="I2219" s="86">
        <v>-28579.13</v>
      </c>
      <c r="J2219" s="185">
        <f t="shared" si="217"/>
        <v>34726.58</v>
      </c>
      <c r="K2219" s="189">
        <f t="shared" si="218"/>
        <v>-32540.19</v>
      </c>
      <c r="L2219" s="189"/>
      <c r="M2219" s="138"/>
      <c r="N2219" s="138"/>
      <c r="O2219" s="138"/>
      <c r="S2219" s="72"/>
      <c r="T2219" s="72"/>
      <c r="U2219" s="72"/>
      <c r="V2219" s="72"/>
    </row>
    <row r="2220" spans="1:22" s="63" customFormat="1" ht="22.5" x14ac:dyDescent="0.25">
      <c r="A2220" s="87">
        <v>14.86</v>
      </c>
      <c r="B2220" s="81" t="s">
        <v>60</v>
      </c>
      <c r="C2220" s="80">
        <v>20.2</v>
      </c>
      <c r="D2220" s="131" t="s">
        <v>1952</v>
      </c>
      <c r="E2220" s="83" t="s">
        <v>1953</v>
      </c>
      <c r="F2220" s="81" t="s">
        <v>226</v>
      </c>
      <c r="G2220" s="88">
        <v>0.12479999999999999</v>
      </c>
      <c r="H2220" s="85"/>
      <c r="I2220" s="86">
        <v>8801.59</v>
      </c>
      <c r="J2220" s="185">
        <f t="shared" si="217"/>
        <v>80300.399999999994</v>
      </c>
      <c r="K2220" s="189">
        <f t="shared" si="218"/>
        <v>10021.49</v>
      </c>
      <c r="L2220" s="189"/>
      <c r="M2220" s="138"/>
      <c r="N2220" s="138"/>
      <c r="O2220" s="138"/>
      <c r="S2220" s="72"/>
      <c r="T2220" s="72"/>
      <c r="U2220" s="72"/>
      <c r="V2220" s="72"/>
    </row>
    <row r="2221" spans="1:22" s="63" customFormat="1" ht="22.5" x14ac:dyDescent="0.25">
      <c r="A2221" s="87">
        <v>14.87</v>
      </c>
      <c r="B2221" s="81" t="s">
        <v>60</v>
      </c>
      <c r="C2221" s="82">
        <v>21</v>
      </c>
      <c r="D2221" s="131" t="s">
        <v>1954</v>
      </c>
      <c r="E2221" s="83" t="s">
        <v>1955</v>
      </c>
      <c r="F2221" s="81" t="s">
        <v>207</v>
      </c>
      <c r="G2221" s="87">
        <v>1.04</v>
      </c>
      <c r="H2221" s="85"/>
      <c r="I2221" s="86">
        <v>13078.32</v>
      </c>
      <c r="J2221" s="185">
        <f t="shared" si="217"/>
        <v>14318.25</v>
      </c>
      <c r="K2221" s="189">
        <f t="shared" si="218"/>
        <v>14890.98</v>
      </c>
      <c r="L2221" s="189"/>
      <c r="M2221" s="138"/>
      <c r="N2221" s="138"/>
      <c r="O2221" s="138"/>
      <c r="S2221" s="72"/>
      <c r="T2221" s="72"/>
      <c r="U2221" s="72"/>
      <c r="V2221" s="72"/>
    </row>
    <row r="2222" spans="1:22" s="63" customFormat="1" ht="22.5" x14ac:dyDescent="0.25">
      <c r="A2222" s="87">
        <v>14.88</v>
      </c>
      <c r="B2222" s="81" t="s">
        <v>60</v>
      </c>
      <c r="C2222" s="80">
        <v>21.1</v>
      </c>
      <c r="D2222" s="131" t="s">
        <v>1956</v>
      </c>
      <c r="E2222" s="83" t="s">
        <v>1957</v>
      </c>
      <c r="F2222" s="81" t="s">
        <v>226</v>
      </c>
      <c r="G2222" s="89">
        <v>3.952E-2</v>
      </c>
      <c r="H2222" s="85"/>
      <c r="I2222" s="86">
        <v>12249.25</v>
      </c>
      <c r="J2222" s="185">
        <f t="shared" si="217"/>
        <v>352909.82</v>
      </c>
      <c r="K2222" s="189">
        <f t="shared" si="218"/>
        <v>13947</v>
      </c>
      <c r="L2222" s="189"/>
      <c r="M2222" s="138"/>
      <c r="N2222" s="138"/>
      <c r="O2222" s="138"/>
      <c r="S2222" s="72"/>
      <c r="T2222" s="72"/>
      <c r="U2222" s="72"/>
      <c r="V2222" s="72"/>
    </row>
    <row r="2223" spans="1:22" s="63" customFormat="1" ht="22.5" x14ac:dyDescent="0.25">
      <c r="A2223" s="87">
        <v>14.89</v>
      </c>
      <c r="B2223" s="81" t="s">
        <v>60</v>
      </c>
      <c r="C2223" s="80">
        <v>21.2</v>
      </c>
      <c r="D2223" s="131" t="s">
        <v>1948</v>
      </c>
      <c r="E2223" s="83" t="s">
        <v>1949</v>
      </c>
      <c r="F2223" s="81" t="s">
        <v>226</v>
      </c>
      <c r="G2223" s="89">
        <v>1.3520000000000001E-2</v>
      </c>
      <c r="H2223" s="85"/>
      <c r="I2223" s="86">
        <v>3668.33</v>
      </c>
      <c r="J2223" s="185">
        <f t="shared" si="217"/>
        <v>308931.99</v>
      </c>
      <c r="K2223" s="189">
        <f t="shared" si="218"/>
        <v>4176.76</v>
      </c>
      <c r="L2223" s="189"/>
      <c r="M2223" s="138"/>
      <c r="N2223" s="138"/>
      <c r="O2223" s="138"/>
      <c r="S2223" s="72"/>
      <c r="T2223" s="72"/>
      <c r="U2223" s="72"/>
      <c r="V2223" s="72"/>
    </row>
    <row r="2224" spans="1:22" s="63" customFormat="1" ht="15" x14ac:dyDescent="0.25">
      <c r="A2224" s="194">
        <v>15</v>
      </c>
      <c r="B2224" s="418" t="s">
        <v>1960</v>
      </c>
      <c r="C2224" s="418"/>
      <c r="D2224" s="418"/>
      <c r="E2224" s="195" t="s">
        <v>62</v>
      </c>
      <c r="F2224" s="196"/>
      <c r="G2224" s="194">
        <v>1</v>
      </c>
      <c r="H2224" s="197">
        <v>5225441.75</v>
      </c>
      <c r="I2224" s="355">
        <f>SUM(I2227:I2341)</f>
        <v>5225441.6900000023</v>
      </c>
      <c r="J2224" s="200"/>
      <c r="K2224" s="198">
        <f>SUM(K2227:K2341)</f>
        <v>5881518.9899999984</v>
      </c>
      <c r="L2224" s="198"/>
      <c r="M2224" s="207"/>
      <c r="N2224" s="209"/>
      <c r="O2224" s="138"/>
      <c r="S2224" s="72"/>
      <c r="T2224" s="72"/>
      <c r="U2224" s="72"/>
      <c r="V2224" s="72"/>
    </row>
    <row r="2225" spans="1:22" s="63" customFormat="1" ht="15" x14ac:dyDescent="0.25">
      <c r="A2225" s="91"/>
      <c r="B2225" s="92"/>
      <c r="C2225" s="92"/>
      <c r="D2225" s="166"/>
      <c r="E2225" s="93" t="s">
        <v>651</v>
      </c>
      <c r="F2225" s="94"/>
      <c r="G2225" s="91"/>
      <c r="H2225" s="95"/>
      <c r="I2225" s="96">
        <f>I2228+I2230+I2231+I2232+I2233+I2237+I2240+I2242+I2244+I2247+I2249+I2251+I2253+I2255+I2256+I2258+I2262+I2263+I2264+I2300+I2301+I2302+I2303</f>
        <v>3391489.6600000006</v>
      </c>
      <c r="J2225" s="191"/>
      <c r="K2225" s="96">
        <f>K2228+K2230+K2231+K2232+K2233+K2237+K2240+K2242+K2244+K2247+K2249+K2251+K2253+K2255+K2256+K2258+K2262+K2263+K2264+K2300+K2301+K2302+K2303</f>
        <v>3793381.6</v>
      </c>
      <c r="L2225" s="96"/>
      <c r="M2225" s="207"/>
      <c r="N2225" s="209"/>
      <c r="O2225" s="138"/>
      <c r="S2225" s="72"/>
      <c r="T2225" s="72">
        <v>3391489.66</v>
      </c>
      <c r="U2225" s="109">
        <f>T2225-I2225</f>
        <v>0</v>
      </c>
      <c r="V2225" s="72"/>
    </row>
    <row r="2226" spans="1:22" s="278" customFormat="1" ht="15" x14ac:dyDescent="0.25">
      <c r="A2226" s="216"/>
      <c r="B2226" s="217"/>
      <c r="C2226" s="217"/>
      <c r="D2226" s="248"/>
      <c r="E2226" s="218" t="s">
        <v>3339</v>
      </c>
      <c r="F2226" s="219"/>
      <c r="G2226" s="216"/>
      <c r="H2226" s="220"/>
      <c r="I2226" s="221"/>
      <c r="J2226" s="244"/>
      <c r="K2226" s="221"/>
      <c r="L2226" s="221"/>
      <c r="M2226" s="222"/>
      <c r="N2226" s="223"/>
      <c r="O2226" s="245"/>
      <c r="S2226" s="225"/>
      <c r="T2226" s="225"/>
      <c r="U2226" s="279"/>
      <c r="V2226" s="225"/>
    </row>
    <row r="2227" spans="1:22" s="63" customFormat="1" ht="22.5" x14ac:dyDescent="0.25">
      <c r="A2227" s="80">
        <v>15.1</v>
      </c>
      <c r="B2227" s="81" t="s">
        <v>61</v>
      </c>
      <c r="C2227" s="82">
        <v>1</v>
      </c>
      <c r="D2227" s="131" t="s">
        <v>1961</v>
      </c>
      <c r="E2227" s="83" t="s">
        <v>1962</v>
      </c>
      <c r="F2227" s="81" t="s">
        <v>219</v>
      </c>
      <c r="G2227" s="82">
        <v>1</v>
      </c>
      <c r="H2227" s="85"/>
      <c r="I2227" s="86">
        <f>16554.22-0.04</f>
        <v>16554.18</v>
      </c>
      <c r="J2227" s="185">
        <f>ROUND($I2227/$G2227*$N$11,2)</f>
        <v>18848.59</v>
      </c>
      <c r="K2227" s="189">
        <f t="shared" ref="K2227:K2264" si="219">ROUND(G2227*J2227,2)</f>
        <v>18848.59</v>
      </c>
      <c r="L2227" s="189"/>
      <c r="M2227" s="138"/>
      <c r="N2227" s="138"/>
      <c r="O2227" s="138"/>
      <c r="S2227" s="72"/>
      <c r="T2227" s="72"/>
      <c r="U2227" s="72"/>
      <c r="V2227" s="72"/>
    </row>
    <row r="2228" spans="1:22" s="63" customFormat="1" ht="33.75" x14ac:dyDescent="0.25">
      <c r="A2228" s="103">
        <v>15.2</v>
      </c>
      <c r="B2228" s="102" t="s">
        <v>61</v>
      </c>
      <c r="C2228" s="103">
        <v>1.1000000000000001</v>
      </c>
      <c r="D2228" s="167" t="s">
        <v>1963</v>
      </c>
      <c r="E2228" s="104" t="s">
        <v>3904</v>
      </c>
      <c r="F2228" s="102" t="s">
        <v>219</v>
      </c>
      <c r="G2228" s="105">
        <v>1</v>
      </c>
      <c r="H2228" s="106"/>
      <c r="I2228" s="107">
        <f>35436.46-0.02</f>
        <v>35436.44</v>
      </c>
      <c r="J2228" s="192">
        <f>ROUND($I2228/$G2228*$N$12,2)</f>
        <v>39635.660000000003</v>
      </c>
      <c r="K2228" s="193">
        <f t="shared" si="219"/>
        <v>39635.660000000003</v>
      </c>
      <c r="L2228" s="193"/>
      <c r="M2228" s="138"/>
      <c r="N2228" s="138"/>
      <c r="O2228" s="138"/>
      <c r="S2228" s="72"/>
      <c r="T2228" s="72"/>
      <c r="U2228" s="72"/>
      <c r="V2228" s="72"/>
    </row>
    <row r="2229" spans="1:22" s="63" customFormat="1" ht="22.5" x14ac:dyDescent="0.25">
      <c r="A2229" s="80">
        <v>15.3</v>
      </c>
      <c r="B2229" s="81" t="s">
        <v>61</v>
      </c>
      <c r="C2229" s="82">
        <v>2</v>
      </c>
      <c r="D2229" s="131" t="s">
        <v>697</v>
      </c>
      <c r="E2229" s="83" t="s">
        <v>698</v>
      </c>
      <c r="F2229" s="81" t="s">
        <v>219</v>
      </c>
      <c r="G2229" s="82">
        <v>6</v>
      </c>
      <c r="H2229" s="85"/>
      <c r="I2229" s="86">
        <v>101070.81</v>
      </c>
      <c r="J2229" s="185">
        <f>ROUND($I2229/$G2229*$N$11,2)</f>
        <v>19179.87</v>
      </c>
      <c r="K2229" s="189">
        <f t="shared" si="219"/>
        <v>115079.22</v>
      </c>
      <c r="L2229" s="189"/>
      <c r="M2229" s="138"/>
      <c r="N2229" s="138"/>
      <c r="O2229" s="138"/>
      <c r="S2229" s="72"/>
      <c r="T2229" s="72"/>
      <c r="U2229" s="72"/>
      <c r="V2229" s="72"/>
    </row>
    <row r="2230" spans="1:22" s="63" customFormat="1" ht="15" x14ac:dyDescent="0.25">
      <c r="A2230" s="103">
        <v>15.4</v>
      </c>
      <c r="B2230" s="102" t="s">
        <v>61</v>
      </c>
      <c r="C2230" s="103">
        <v>2.1</v>
      </c>
      <c r="D2230" s="167" t="s">
        <v>1964</v>
      </c>
      <c r="E2230" s="104" t="s">
        <v>3905</v>
      </c>
      <c r="F2230" s="102" t="s">
        <v>219</v>
      </c>
      <c r="G2230" s="105">
        <v>2</v>
      </c>
      <c r="H2230" s="106"/>
      <c r="I2230" s="107">
        <v>260025.29</v>
      </c>
      <c r="J2230" s="192">
        <f>ROUND($I2230/$G2230*$N$12,2)</f>
        <v>145419.14000000001</v>
      </c>
      <c r="K2230" s="193">
        <f t="shared" si="219"/>
        <v>290838.28000000003</v>
      </c>
      <c r="L2230" s="193"/>
      <c r="M2230" s="138"/>
      <c r="N2230" s="138"/>
      <c r="O2230" s="138"/>
      <c r="S2230" s="72"/>
      <c r="T2230" s="72"/>
      <c r="U2230" s="72"/>
      <c r="V2230" s="72"/>
    </row>
    <row r="2231" spans="1:22" s="63" customFormat="1" ht="15" x14ac:dyDescent="0.25">
      <c r="A2231" s="103">
        <v>15.5</v>
      </c>
      <c r="B2231" s="102" t="s">
        <v>61</v>
      </c>
      <c r="C2231" s="103">
        <v>2.2000000000000002</v>
      </c>
      <c r="D2231" s="167" t="s">
        <v>1965</v>
      </c>
      <c r="E2231" s="104" t="s">
        <v>3906</v>
      </c>
      <c r="F2231" s="102" t="s">
        <v>219</v>
      </c>
      <c r="G2231" s="105">
        <v>2</v>
      </c>
      <c r="H2231" s="106"/>
      <c r="I2231" s="107">
        <v>76090.570000000007</v>
      </c>
      <c r="J2231" s="192">
        <f>ROUND($I2231/$G2231*$N$12,2)</f>
        <v>42553.65</v>
      </c>
      <c r="K2231" s="193">
        <f t="shared" si="219"/>
        <v>85107.3</v>
      </c>
      <c r="L2231" s="193"/>
      <c r="M2231" s="138"/>
      <c r="N2231" s="138"/>
      <c r="O2231" s="138"/>
      <c r="S2231" s="72"/>
      <c r="T2231" s="72"/>
      <c r="U2231" s="72"/>
      <c r="V2231" s="72"/>
    </row>
    <row r="2232" spans="1:22" s="63" customFormat="1" ht="15" x14ac:dyDescent="0.25">
      <c r="A2232" s="103">
        <v>15.6</v>
      </c>
      <c r="B2232" s="102" t="s">
        <v>61</v>
      </c>
      <c r="C2232" s="103">
        <v>2.2999999999999998</v>
      </c>
      <c r="D2232" s="167" t="s">
        <v>1966</v>
      </c>
      <c r="E2232" s="104" t="s">
        <v>3907</v>
      </c>
      <c r="F2232" s="102" t="s">
        <v>219</v>
      </c>
      <c r="G2232" s="105">
        <v>2</v>
      </c>
      <c r="H2232" s="106"/>
      <c r="I2232" s="107">
        <v>102803.74</v>
      </c>
      <c r="J2232" s="192">
        <f>ROUND($I2232/$G2232*$N$12,2)</f>
        <v>57492.99</v>
      </c>
      <c r="K2232" s="193">
        <f t="shared" si="219"/>
        <v>114985.98</v>
      </c>
      <c r="L2232" s="193"/>
      <c r="M2232" s="138"/>
      <c r="N2232" s="138"/>
      <c r="O2232" s="138"/>
      <c r="S2232" s="72"/>
      <c r="T2232" s="72"/>
      <c r="U2232" s="72"/>
      <c r="V2232" s="72"/>
    </row>
    <row r="2233" spans="1:22" s="63" customFormat="1" ht="22.5" x14ac:dyDescent="0.25">
      <c r="A2233" s="103">
        <v>15.7</v>
      </c>
      <c r="B2233" s="102" t="s">
        <v>61</v>
      </c>
      <c r="C2233" s="103">
        <v>2.4</v>
      </c>
      <c r="D2233" s="167" t="s">
        <v>1967</v>
      </c>
      <c r="E2233" s="104" t="s">
        <v>3908</v>
      </c>
      <c r="F2233" s="102" t="s">
        <v>219</v>
      </c>
      <c r="G2233" s="105">
        <v>1</v>
      </c>
      <c r="H2233" s="106"/>
      <c r="I2233" s="107">
        <v>33643.99</v>
      </c>
      <c r="J2233" s="192">
        <f>ROUND($I2233/$G2233*$N$12,2)</f>
        <v>37630.800000000003</v>
      </c>
      <c r="K2233" s="193">
        <f t="shared" si="219"/>
        <v>37630.800000000003</v>
      </c>
      <c r="L2233" s="193"/>
      <c r="M2233" s="138"/>
      <c r="N2233" s="138"/>
      <c r="O2233" s="138"/>
      <c r="S2233" s="72"/>
      <c r="T2233" s="72"/>
      <c r="U2233" s="72"/>
      <c r="V2233" s="72"/>
    </row>
    <row r="2234" spans="1:22" s="63" customFormat="1" ht="22.5" x14ac:dyDescent="0.25">
      <c r="A2234" s="80">
        <v>15.8</v>
      </c>
      <c r="B2234" s="81" t="s">
        <v>61</v>
      </c>
      <c r="C2234" s="82">
        <v>3</v>
      </c>
      <c r="D2234" s="131" t="s">
        <v>701</v>
      </c>
      <c r="E2234" s="83" t="s">
        <v>702</v>
      </c>
      <c r="F2234" s="81" t="s">
        <v>219</v>
      </c>
      <c r="G2234" s="82">
        <v>1</v>
      </c>
      <c r="H2234" s="85"/>
      <c r="I2234" s="86">
        <v>1895.75</v>
      </c>
      <c r="J2234" s="185">
        <f>ROUND($I2234/$G2234*$N$11,2)</f>
        <v>2158.5</v>
      </c>
      <c r="K2234" s="189">
        <f t="shared" si="219"/>
        <v>2158.5</v>
      </c>
      <c r="L2234" s="189"/>
      <c r="M2234" s="138"/>
      <c r="N2234" s="138"/>
      <c r="O2234" s="138"/>
      <c r="S2234" s="72"/>
      <c r="T2234" s="72"/>
      <c r="U2234" s="72"/>
      <c r="V2234" s="72"/>
    </row>
    <row r="2235" spans="1:22" s="63" customFormat="1" ht="22.5" x14ac:dyDescent="0.25">
      <c r="A2235" s="80">
        <v>15.9</v>
      </c>
      <c r="B2235" s="81" t="s">
        <v>61</v>
      </c>
      <c r="C2235" s="80">
        <v>3.1</v>
      </c>
      <c r="D2235" s="131" t="s">
        <v>1968</v>
      </c>
      <c r="E2235" s="83" t="s">
        <v>1969</v>
      </c>
      <c r="F2235" s="81" t="s">
        <v>219</v>
      </c>
      <c r="G2235" s="82">
        <v>1</v>
      </c>
      <c r="H2235" s="85"/>
      <c r="I2235" s="86">
        <v>14514.45</v>
      </c>
      <c r="J2235" s="185">
        <f>ROUND($I2235/$G2235*$N$11,2)</f>
        <v>16526.150000000001</v>
      </c>
      <c r="K2235" s="189">
        <f t="shared" si="219"/>
        <v>16526.150000000001</v>
      </c>
      <c r="L2235" s="189"/>
      <c r="M2235" s="138"/>
      <c r="N2235" s="138"/>
      <c r="O2235" s="138"/>
      <c r="S2235" s="72"/>
      <c r="T2235" s="72"/>
      <c r="U2235" s="72"/>
      <c r="V2235" s="72"/>
    </row>
    <row r="2236" spans="1:22" s="63" customFormat="1" ht="22.5" x14ac:dyDescent="0.25">
      <c r="A2236" s="87">
        <v>15.1</v>
      </c>
      <c r="B2236" s="81" t="s">
        <v>61</v>
      </c>
      <c r="C2236" s="82">
        <v>4</v>
      </c>
      <c r="D2236" s="131" t="s">
        <v>1970</v>
      </c>
      <c r="E2236" s="83" t="s">
        <v>1971</v>
      </c>
      <c r="F2236" s="81" t="s">
        <v>219</v>
      </c>
      <c r="G2236" s="82">
        <v>1</v>
      </c>
      <c r="H2236" s="85"/>
      <c r="I2236" s="86">
        <v>8478.02</v>
      </c>
      <c r="J2236" s="185">
        <f>ROUND($I2236/$G2236*$N$11,2)</f>
        <v>9653.07</v>
      </c>
      <c r="K2236" s="189">
        <f t="shared" si="219"/>
        <v>9653.07</v>
      </c>
      <c r="L2236" s="189"/>
      <c r="M2236" s="138"/>
      <c r="N2236" s="138"/>
      <c r="O2236" s="138"/>
      <c r="S2236" s="72"/>
      <c r="T2236" s="72"/>
      <c r="U2236" s="72"/>
      <c r="V2236" s="72"/>
    </row>
    <row r="2237" spans="1:22" s="63" customFormat="1" ht="22.5" x14ac:dyDescent="0.25">
      <c r="A2237" s="101">
        <v>15.11</v>
      </c>
      <c r="B2237" s="102" t="s">
        <v>61</v>
      </c>
      <c r="C2237" s="103">
        <v>4.0999999999999996</v>
      </c>
      <c r="D2237" s="167" t="s">
        <v>1972</v>
      </c>
      <c r="E2237" s="104" t="s">
        <v>3909</v>
      </c>
      <c r="F2237" s="102" t="s">
        <v>219</v>
      </c>
      <c r="G2237" s="105">
        <v>1</v>
      </c>
      <c r="H2237" s="106"/>
      <c r="I2237" s="107">
        <v>31859.13</v>
      </c>
      <c r="J2237" s="192">
        <f>ROUND($I2237/$G2237*$N$12,2)</f>
        <v>35634.44</v>
      </c>
      <c r="K2237" s="193">
        <f t="shared" si="219"/>
        <v>35634.44</v>
      </c>
      <c r="L2237" s="193"/>
      <c r="M2237" s="138"/>
      <c r="N2237" s="138"/>
      <c r="O2237" s="138"/>
      <c r="S2237" s="72"/>
      <c r="T2237" s="72"/>
      <c r="U2237" s="72"/>
      <c r="V2237" s="72"/>
    </row>
    <row r="2238" spans="1:22" s="63" customFormat="1" ht="22.5" x14ac:dyDescent="0.25">
      <c r="A2238" s="87">
        <v>15.12</v>
      </c>
      <c r="B2238" s="81" t="s">
        <v>61</v>
      </c>
      <c r="C2238" s="82">
        <v>5</v>
      </c>
      <c r="D2238" s="131" t="s">
        <v>1973</v>
      </c>
      <c r="E2238" s="83" t="s">
        <v>1974</v>
      </c>
      <c r="F2238" s="81" t="s">
        <v>219</v>
      </c>
      <c r="G2238" s="82">
        <v>1</v>
      </c>
      <c r="H2238" s="85"/>
      <c r="I2238" s="86">
        <v>9261.5499999999993</v>
      </c>
      <c r="J2238" s="185">
        <f>ROUND($I2238/$G2238*$N$11,2)</f>
        <v>10545.2</v>
      </c>
      <c r="K2238" s="189">
        <f t="shared" si="219"/>
        <v>10545.2</v>
      </c>
      <c r="L2238" s="189"/>
      <c r="M2238" s="138"/>
      <c r="N2238" s="138"/>
      <c r="O2238" s="138"/>
      <c r="S2238" s="72"/>
      <c r="T2238" s="72"/>
      <c r="U2238" s="72"/>
      <c r="V2238" s="72"/>
    </row>
    <row r="2239" spans="1:22" s="63" customFormat="1" ht="15" x14ac:dyDescent="0.25">
      <c r="A2239" s="87">
        <v>15.13</v>
      </c>
      <c r="B2239" s="81" t="s">
        <v>61</v>
      </c>
      <c r="C2239" s="82">
        <v>6</v>
      </c>
      <c r="D2239" s="131" t="s">
        <v>713</v>
      </c>
      <c r="E2239" s="83" t="s">
        <v>714</v>
      </c>
      <c r="F2239" s="81" t="s">
        <v>219</v>
      </c>
      <c r="G2239" s="82">
        <v>2</v>
      </c>
      <c r="H2239" s="85"/>
      <c r="I2239" s="86">
        <v>4751.2700000000004</v>
      </c>
      <c r="J2239" s="185">
        <f>ROUND($I2239/$G2239*$N$11,2)</f>
        <v>2704.9</v>
      </c>
      <c r="K2239" s="189">
        <f t="shared" si="219"/>
        <v>5409.8</v>
      </c>
      <c r="L2239" s="189"/>
      <c r="M2239" s="138"/>
      <c r="N2239" s="138"/>
      <c r="O2239" s="138"/>
      <c r="S2239" s="72"/>
      <c r="T2239" s="72"/>
      <c r="U2239" s="72"/>
      <c r="V2239" s="72"/>
    </row>
    <row r="2240" spans="1:22" s="63" customFormat="1" ht="22.5" x14ac:dyDescent="0.25">
      <c r="A2240" s="101">
        <v>15.14</v>
      </c>
      <c r="B2240" s="102" t="s">
        <v>61</v>
      </c>
      <c r="C2240" s="103">
        <v>6.1</v>
      </c>
      <c r="D2240" s="167" t="s">
        <v>1975</v>
      </c>
      <c r="E2240" s="104" t="s">
        <v>3910</v>
      </c>
      <c r="F2240" s="102" t="s">
        <v>219</v>
      </c>
      <c r="G2240" s="105">
        <v>2</v>
      </c>
      <c r="H2240" s="106"/>
      <c r="I2240" s="107">
        <v>4026.29</v>
      </c>
      <c r="J2240" s="192">
        <f>ROUND($I2240/$G2240*$N$12,2)</f>
        <v>2251.6999999999998</v>
      </c>
      <c r="K2240" s="193">
        <f t="shared" si="219"/>
        <v>4503.3999999999996</v>
      </c>
      <c r="L2240" s="193"/>
      <c r="M2240" s="138"/>
      <c r="N2240" s="138"/>
      <c r="O2240" s="138"/>
      <c r="S2240" s="72"/>
      <c r="T2240" s="72"/>
      <c r="U2240" s="72"/>
      <c r="V2240" s="72"/>
    </row>
    <row r="2241" spans="1:22" s="63" customFormat="1" ht="15" x14ac:dyDescent="0.25">
      <c r="A2241" s="87">
        <v>15.15</v>
      </c>
      <c r="B2241" s="81" t="s">
        <v>61</v>
      </c>
      <c r="C2241" s="82">
        <v>7</v>
      </c>
      <c r="D2241" s="131" t="s">
        <v>1976</v>
      </c>
      <c r="E2241" s="83" t="s">
        <v>1977</v>
      </c>
      <c r="F2241" s="81" t="s">
        <v>566</v>
      </c>
      <c r="G2241" s="80">
        <v>0.1</v>
      </c>
      <c r="H2241" s="85"/>
      <c r="I2241" s="86">
        <v>1288.3699999999999</v>
      </c>
      <c r="J2241" s="185">
        <f>ROUND($I2241/$G2241*$N$11,2)</f>
        <v>14669.38</v>
      </c>
      <c r="K2241" s="189">
        <f t="shared" si="219"/>
        <v>1466.94</v>
      </c>
      <c r="L2241" s="189"/>
      <c r="M2241" s="138"/>
      <c r="N2241" s="138"/>
      <c r="O2241" s="138"/>
      <c r="S2241" s="72"/>
      <c r="T2241" s="72"/>
      <c r="U2241" s="72"/>
      <c r="V2241" s="72"/>
    </row>
    <row r="2242" spans="1:22" s="63" customFormat="1" ht="33.75" x14ac:dyDescent="0.25">
      <c r="A2242" s="101">
        <v>15.16</v>
      </c>
      <c r="B2242" s="102" t="s">
        <v>61</v>
      </c>
      <c r="C2242" s="103">
        <v>7.1</v>
      </c>
      <c r="D2242" s="167" t="s">
        <v>1978</v>
      </c>
      <c r="E2242" s="104" t="s">
        <v>3911</v>
      </c>
      <c r="F2242" s="102" t="s">
        <v>219</v>
      </c>
      <c r="G2242" s="105">
        <v>1</v>
      </c>
      <c r="H2242" s="106"/>
      <c r="I2242" s="107">
        <v>16305.1</v>
      </c>
      <c r="J2242" s="192">
        <f>ROUND($I2242/$G2242*$N$12,2)</f>
        <v>18237.25</v>
      </c>
      <c r="K2242" s="193">
        <f t="shared" si="219"/>
        <v>18237.25</v>
      </c>
      <c r="L2242" s="193"/>
      <c r="M2242" s="138"/>
      <c r="N2242" s="138"/>
      <c r="O2242" s="138"/>
      <c r="S2242" s="72"/>
      <c r="T2242" s="72"/>
      <c r="U2242" s="72"/>
      <c r="V2242" s="72"/>
    </row>
    <row r="2243" spans="1:22" s="63" customFormat="1" ht="22.5" x14ac:dyDescent="0.25">
      <c r="A2243" s="87">
        <v>15.17</v>
      </c>
      <c r="B2243" s="81" t="s">
        <v>61</v>
      </c>
      <c r="C2243" s="82">
        <v>8</v>
      </c>
      <c r="D2243" s="131" t="s">
        <v>1979</v>
      </c>
      <c r="E2243" s="83" t="s">
        <v>1980</v>
      </c>
      <c r="F2243" s="81" t="s">
        <v>219</v>
      </c>
      <c r="G2243" s="82">
        <v>2</v>
      </c>
      <c r="H2243" s="85"/>
      <c r="I2243" s="86">
        <v>4922.1000000000004</v>
      </c>
      <c r="J2243" s="185">
        <f>ROUND($I2243/$G2243*$N$11,2)</f>
        <v>2802.15</v>
      </c>
      <c r="K2243" s="189">
        <f t="shared" si="219"/>
        <v>5604.3</v>
      </c>
      <c r="L2243" s="189"/>
      <c r="M2243" s="138"/>
      <c r="N2243" s="138"/>
      <c r="O2243" s="138"/>
      <c r="S2243" s="72"/>
      <c r="T2243" s="72"/>
      <c r="U2243" s="72"/>
      <c r="V2243" s="72"/>
    </row>
    <row r="2244" spans="1:22" s="63" customFormat="1" ht="22.5" x14ac:dyDescent="0.25">
      <c r="A2244" s="101">
        <v>15.18</v>
      </c>
      <c r="B2244" s="102" t="s">
        <v>61</v>
      </c>
      <c r="C2244" s="103">
        <v>8.1</v>
      </c>
      <c r="D2244" s="167" t="s">
        <v>1981</v>
      </c>
      <c r="E2244" s="104" t="s">
        <v>3912</v>
      </c>
      <c r="F2244" s="102" t="s">
        <v>219</v>
      </c>
      <c r="G2244" s="105">
        <v>2</v>
      </c>
      <c r="H2244" s="106"/>
      <c r="I2244" s="107">
        <v>371824.04</v>
      </c>
      <c r="J2244" s="192">
        <f>ROUND($I2244/$G2244*$N$12,2)</f>
        <v>207942.59</v>
      </c>
      <c r="K2244" s="193">
        <f t="shared" si="219"/>
        <v>415885.18</v>
      </c>
      <c r="L2244" s="193"/>
      <c r="M2244" s="138"/>
      <c r="N2244" s="138"/>
      <c r="O2244" s="138"/>
      <c r="S2244" s="72"/>
      <c r="T2244" s="72"/>
      <c r="U2244" s="72"/>
      <c r="V2244" s="72"/>
    </row>
    <row r="2245" spans="1:22" s="63" customFormat="1" ht="22.5" x14ac:dyDescent="0.25">
      <c r="A2245" s="87">
        <v>15.19</v>
      </c>
      <c r="B2245" s="81" t="s">
        <v>61</v>
      </c>
      <c r="C2245" s="82">
        <v>9</v>
      </c>
      <c r="D2245" s="131" t="s">
        <v>1982</v>
      </c>
      <c r="E2245" s="83" t="s">
        <v>1983</v>
      </c>
      <c r="F2245" s="81" t="s">
        <v>219</v>
      </c>
      <c r="G2245" s="82">
        <v>1</v>
      </c>
      <c r="H2245" s="85"/>
      <c r="I2245" s="86">
        <v>8701.2199999999993</v>
      </c>
      <c r="J2245" s="185">
        <f>ROUND($I2245/$G2245*$N$11,2)</f>
        <v>9907.2099999999991</v>
      </c>
      <c r="K2245" s="189">
        <f t="shared" si="219"/>
        <v>9907.2099999999991</v>
      </c>
      <c r="L2245" s="189"/>
      <c r="M2245" s="138"/>
      <c r="N2245" s="138"/>
      <c r="O2245" s="138"/>
      <c r="S2245" s="72"/>
      <c r="T2245" s="72"/>
      <c r="U2245" s="72"/>
      <c r="V2245" s="72"/>
    </row>
    <row r="2246" spans="1:22" s="63" customFormat="1" ht="15" x14ac:dyDescent="0.25">
      <c r="A2246" s="87">
        <v>15.2</v>
      </c>
      <c r="B2246" s="81" t="s">
        <v>61</v>
      </c>
      <c r="C2246" s="82">
        <v>10</v>
      </c>
      <c r="D2246" s="131" t="s">
        <v>713</v>
      </c>
      <c r="E2246" s="83" t="s">
        <v>714</v>
      </c>
      <c r="F2246" s="81" t="s">
        <v>219</v>
      </c>
      <c r="G2246" s="82">
        <v>1</v>
      </c>
      <c r="H2246" s="85"/>
      <c r="I2246" s="86">
        <v>2375.63</v>
      </c>
      <c r="J2246" s="185">
        <f>ROUND($I2246/$G2246*$N$11,2)</f>
        <v>2704.89</v>
      </c>
      <c r="K2246" s="189">
        <f t="shared" si="219"/>
        <v>2704.89</v>
      </c>
      <c r="L2246" s="189"/>
      <c r="M2246" s="138"/>
      <c r="N2246" s="138"/>
      <c r="O2246" s="138"/>
      <c r="S2246" s="72"/>
      <c r="T2246" s="72"/>
      <c r="U2246" s="72"/>
      <c r="V2246" s="72"/>
    </row>
    <row r="2247" spans="1:22" s="63" customFormat="1" ht="22.5" x14ac:dyDescent="0.25">
      <c r="A2247" s="101">
        <v>15.21</v>
      </c>
      <c r="B2247" s="102" t="s">
        <v>61</v>
      </c>
      <c r="C2247" s="103">
        <v>10.1</v>
      </c>
      <c r="D2247" s="167" t="s">
        <v>1975</v>
      </c>
      <c r="E2247" s="104" t="s">
        <v>3910</v>
      </c>
      <c r="F2247" s="102" t="s">
        <v>219</v>
      </c>
      <c r="G2247" s="105">
        <v>1</v>
      </c>
      <c r="H2247" s="106"/>
      <c r="I2247" s="107">
        <v>2013.15</v>
      </c>
      <c r="J2247" s="192">
        <f>ROUND($I2247/$G2247*$N$12,2)</f>
        <v>2251.71</v>
      </c>
      <c r="K2247" s="193">
        <f t="shared" si="219"/>
        <v>2251.71</v>
      </c>
      <c r="L2247" s="193"/>
      <c r="M2247" s="138"/>
      <c r="N2247" s="138"/>
      <c r="O2247" s="138"/>
      <c r="S2247" s="72"/>
      <c r="T2247" s="72"/>
      <c r="U2247" s="72"/>
      <c r="V2247" s="72"/>
    </row>
    <row r="2248" spans="1:22" s="63" customFormat="1" ht="22.5" x14ac:dyDescent="0.25">
      <c r="A2248" s="87">
        <v>15.22</v>
      </c>
      <c r="B2248" s="81" t="s">
        <v>61</v>
      </c>
      <c r="C2248" s="82">
        <v>11</v>
      </c>
      <c r="D2248" s="131" t="s">
        <v>1984</v>
      </c>
      <c r="E2248" s="83" t="s">
        <v>1985</v>
      </c>
      <c r="F2248" s="81" t="s">
        <v>219</v>
      </c>
      <c r="G2248" s="82">
        <v>2</v>
      </c>
      <c r="H2248" s="85"/>
      <c r="I2248" s="86">
        <v>38058.54</v>
      </c>
      <c r="J2248" s="185">
        <f>ROUND($I2248/$G2248*$N$11,2)</f>
        <v>21666.73</v>
      </c>
      <c r="K2248" s="189">
        <f t="shared" si="219"/>
        <v>43333.46</v>
      </c>
      <c r="L2248" s="189"/>
      <c r="M2248" s="138"/>
      <c r="N2248" s="138"/>
      <c r="O2248" s="138"/>
      <c r="S2248" s="72"/>
      <c r="T2248" s="72"/>
      <c r="U2248" s="72"/>
      <c r="V2248" s="72"/>
    </row>
    <row r="2249" spans="1:22" s="63" customFormat="1" ht="22.5" x14ac:dyDescent="0.25">
      <c r="A2249" s="101">
        <v>15.23</v>
      </c>
      <c r="B2249" s="102" t="s">
        <v>61</v>
      </c>
      <c r="C2249" s="103">
        <v>11.1</v>
      </c>
      <c r="D2249" s="167" t="s">
        <v>1986</v>
      </c>
      <c r="E2249" s="104" t="s">
        <v>3913</v>
      </c>
      <c r="F2249" s="102" t="s">
        <v>219</v>
      </c>
      <c r="G2249" s="105">
        <v>2</v>
      </c>
      <c r="H2249" s="106"/>
      <c r="I2249" s="107">
        <v>388137.39</v>
      </c>
      <c r="J2249" s="192">
        <f>ROUND($I2249/$G2249*$N$12,2)</f>
        <v>217065.84</v>
      </c>
      <c r="K2249" s="193">
        <f t="shared" si="219"/>
        <v>434131.68</v>
      </c>
      <c r="L2249" s="193"/>
      <c r="M2249" s="138"/>
      <c r="N2249" s="138"/>
      <c r="O2249" s="138"/>
      <c r="S2249" s="72"/>
      <c r="T2249" s="72"/>
      <c r="U2249" s="72"/>
      <c r="V2249" s="72"/>
    </row>
    <row r="2250" spans="1:22" s="63" customFormat="1" ht="22.5" x14ac:dyDescent="0.25">
      <c r="A2250" s="87">
        <v>15.24</v>
      </c>
      <c r="B2250" s="81" t="s">
        <v>61</v>
      </c>
      <c r="C2250" s="82">
        <v>12</v>
      </c>
      <c r="D2250" s="131" t="s">
        <v>1987</v>
      </c>
      <c r="E2250" s="83" t="s">
        <v>1988</v>
      </c>
      <c r="F2250" s="81" t="s">
        <v>219</v>
      </c>
      <c r="G2250" s="82">
        <v>20</v>
      </c>
      <c r="H2250" s="85"/>
      <c r="I2250" s="86">
        <v>372076.47</v>
      </c>
      <c r="J2250" s="185">
        <f>ROUND($I2250/$G2250*$N$11,2)</f>
        <v>21182.31</v>
      </c>
      <c r="K2250" s="189">
        <f t="shared" si="219"/>
        <v>423646.2</v>
      </c>
      <c r="L2250" s="189"/>
      <c r="M2250" s="138"/>
      <c r="N2250" s="138"/>
      <c r="O2250" s="138"/>
      <c r="S2250" s="72"/>
      <c r="T2250" s="72"/>
      <c r="U2250" s="72"/>
      <c r="V2250" s="72"/>
    </row>
    <row r="2251" spans="1:22" s="63" customFormat="1" ht="22.5" x14ac:dyDescent="0.25">
      <c r="A2251" s="101">
        <v>15.25</v>
      </c>
      <c r="B2251" s="102" t="s">
        <v>61</v>
      </c>
      <c r="C2251" s="103">
        <v>12.1</v>
      </c>
      <c r="D2251" s="167" t="s">
        <v>1989</v>
      </c>
      <c r="E2251" s="104" t="s">
        <v>3914</v>
      </c>
      <c r="F2251" s="102" t="s">
        <v>219</v>
      </c>
      <c r="G2251" s="105">
        <v>20</v>
      </c>
      <c r="H2251" s="106"/>
      <c r="I2251" s="107">
        <v>1301950.77</v>
      </c>
      <c r="J2251" s="192">
        <f>ROUND($I2251/$G2251*$N$12,2)</f>
        <v>72811.600000000006</v>
      </c>
      <c r="K2251" s="193">
        <f t="shared" si="219"/>
        <v>1456232</v>
      </c>
      <c r="L2251" s="193"/>
      <c r="M2251" s="138"/>
      <c r="N2251" s="138"/>
      <c r="O2251" s="138"/>
      <c r="S2251" s="72"/>
      <c r="T2251" s="72"/>
      <c r="U2251" s="72"/>
      <c r="V2251" s="72"/>
    </row>
    <row r="2252" spans="1:22" s="63" customFormat="1" ht="15" x14ac:dyDescent="0.25">
      <c r="A2252" s="87">
        <v>15.26</v>
      </c>
      <c r="B2252" s="81" t="s">
        <v>61</v>
      </c>
      <c r="C2252" s="82">
        <v>13</v>
      </c>
      <c r="D2252" s="131" t="s">
        <v>1990</v>
      </c>
      <c r="E2252" s="83" t="s">
        <v>1991</v>
      </c>
      <c r="F2252" s="81" t="s">
        <v>219</v>
      </c>
      <c r="G2252" s="82">
        <v>1</v>
      </c>
      <c r="H2252" s="85"/>
      <c r="I2252" s="86">
        <v>498.34</v>
      </c>
      <c r="J2252" s="185">
        <f>ROUND($I2252/$G2252*$N$11,2)</f>
        <v>567.41</v>
      </c>
      <c r="K2252" s="189">
        <f t="shared" si="219"/>
        <v>567.41</v>
      </c>
      <c r="L2252" s="189"/>
      <c r="M2252" s="138"/>
      <c r="N2252" s="138"/>
      <c r="O2252" s="138"/>
      <c r="S2252" s="72"/>
      <c r="T2252" s="72"/>
      <c r="U2252" s="72"/>
      <c r="V2252" s="72"/>
    </row>
    <row r="2253" spans="1:22" s="63" customFormat="1" ht="22.5" x14ac:dyDescent="0.25">
      <c r="A2253" s="101">
        <v>15.27</v>
      </c>
      <c r="B2253" s="102" t="s">
        <v>61</v>
      </c>
      <c r="C2253" s="103">
        <v>13.1</v>
      </c>
      <c r="D2253" s="167" t="s">
        <v>1992</v>
      </c>
      <c r="E2253" s="104" t="s">
        <v>1993</v>
      </c>
      <c r="F2253" s="102" t="s">
        <v>219</v>
      </c>
      <c r="G2253" s="105">
        <v>1</v>
      </c>
      <c r="H2253" s="106"/>
      <c r="I2253" s="107">
        <v>7145.49</v>
      </c>
      <c r="J2253" s="192">
        <f>ROUND($I2253/$G2253*$N$12,2)</f>
        <v>7992.23</v>
      </c>
      <c r="K2253" s="193">
        <f t="shared" si="219"/>
        <v>7992.23</v>
      </c>
      <c r="L2253" s="193"/>
      <c r="M2253" s="138"/>
      <c r="N2253" s="138"/>
      <c r="O2253" s="138"/>
      <c r="S2253" s="72"/>
      <c r="T2253" s="72"/>
      <c r="U2253" s="72"/>
      <c r="V2253" s="72"/>
    </row>
    <row r="2254" spans="1:22" s="63" customFormat="1" ht="15" x14ac:dyDescent="0.25">
      <c r="A2254" s="87">
        <v>15.28</v>
      </c>
      <c r="B2254" s="81" t="s">
        <v>61</v>
      </c>
      <c r="C2254" s="82">
        <v>14</v>
      </c>
      <c r="D2254" s="131" t="s">
        <v>1994</v>
      </c>
      <c r="E2254" s="83" t="s">
        <v>1995</v>
      </c>
      <c r="F2254" s="81" t="s">
        <v>491</v>
      </c>
      <c r="G2254" s="82">
        <v>19</v>
      </c>
      <c r="H2254" s="85"/>
      <c r="I2254" s="86">
        <v>6990.35</v>
      </c>
      <c r="J2254" s="185">
        <f>ROUND($I2254/$G2254*$N$11,2)</f>
        <v>418.91</v>
      </c>
      <c r="K2254" s="189">
        <f t="shared" si="219"/>
        <v>7959.29</v>
      </c>
      <c r="L2254" s="189"/>
      <c r="M2254" s="138"/>
      <c r="N2254" s="138"/>
      <c r="O2254" s="138"/>
      <c r="S2254" s="72"/>
      <c r="T2254" s="72"/>
      <c r="U2254" s="72"/>
      <c r="V2254" s="72"/>
    </row>
    <row r="2255" spans="1:22" s="63" customFormat="1" ht="22.5" x14ac:dyDescent="0.25">
      <c r="A2255" s="101">
        <v>15.29</v>
      </c>
      <c r="B2255" s="102" t="s">
        <v>61</v>
      </c>
      <c r="C2255" s="103">
        <v>14.1</v>
      </c>
      <c r="D2255" s="167" t="s">
        <v>1996</v>
      </c>
      <c r="E2255" s="104" t="s">
        <v>1997</v>
      </c>
      <c r="F2255" s="102" t="s">
        <v>491</v>
      </c>
      <c r="G2255" s="105">
        <v>10</v>
      </c>
      <c r="H2255" s="106"/>
      <c r="I2255" s="107">
        <v>8774.24</v>
      </c>
      <c r="J2255" s="192">
        <f>ROUND($I2255/$G2255*$N$12,2)</f>
        <v>981.4</v>
      </c>
      <c r="K2255" s="193">
        <f t="shared" si="219"/>
        <v>9814</v>
      </c>
      <c r="L2255" s="193"/>
      <c r="M2255" s="138"/>
      <c r="N2255" s="138"/>
      <c r="O2255" s="138"/>
      <c r="S2255" s="72"/>
      <c r="T2255" s="72"/>
      <c r="U2255" s="72"/>
      <c r="V2255" s="72"/>
    </row>
    <row r="2256" spans="1:22" s="63" customFormat="1" ht="22.5" x14ac:dyDescent="0.25">
      <c r="A2256" s="101">
        <v>15.3</v>
      </c>
      <c r="B2256" s="102" t="s">
        <v>61</v>
      </c>
      <c r="C2256" s="103">
        <v>14.2</v>
      </c>
      <c r="D2256" s="167" t="s">
        <v>1998</v>
      </c>
      <c r="E2256" s="104" t="s">
        <v>3915</v>
      </c>
      <c r="F2256" s="102" t="s">
        <v>219</v>
      </c>
      <c r="G2256" s="105">
        <v>9</v>
      </c>
      <c r="H2256" s="106"/>
      <c r="I2256" s="107">
        <v>9489.6</v>
      </c>
      <c r="J2256" s="192">
        <f>ROUND($I2256/$G2256*$N$12,2)</f>
        <v>1179.3499999999999</v>
      </c>
      <c r="K2256" s="193">
        <f t="shared" si="219"/>
        <v>10614.15</v>
      </c>
      <c r="L2256" s="193"/>
      <c r="M2256" s="138"/>
      <c r="N2256" s="138"/>
      <c r="O2256" s="138"/>
      <c r="S2256" s="72"/>
      <c r="T2256" s="72"/>
      <c r="U2256" s="72"/>
      <c r="V2256" s="72"/>
    </row>
    <row r="2257" spans="1:22" s="63" customFormat="1" ht="15" x14ac:dyDescent="0.25">
      <c r="A2257" s="87">
        <v>15.31</v>
      </c>
      <c r="B2257" s="81" t="s">
        <v>61</v>
      </c>
      <c r="C2257" s="82">
        <v>15</v>
      </c>
      <c r="D2257" s="131" t="s">
        <v>721</v>
      </c>
      <c r="E2257" s="83" t="s">
        <v>722</v>
      </c>
      <c r="F2257" s="81" t="s">
        <v>491</v>
      </c>
      <c r="G2257" s="82">
        <v>35</v>
      </c>
      <c r="H2257" s="85"/>
      <c r="I2257" s="86">
        <v>9569.14</v>
      </c>
      <c r="J2257" s="185">
        <f>ROUND($I2257/$G2257*$N$11,2)</f>
        <v>311.3</v>
      </c>
      <c r="K2257" s="189">
        <f t="shared" si="219"/>
        <v>10895.5</v>
      </c>
      <c r="L2257" s="189"/>
      <c r="M2257" s="138"/>
      <c r="N2257" s="138"/>
      <c r="O2257" s="138"/>
      <c r="S2257" s="72"/>
      <c r="T2257" s="72"/>
      <c r="U2257" s="72"/>
      <c r="V2257" s="72"/>
    </row>
    <row r="2258" spans="1:22" s="63" customFormat="1" ht="15" x14ac:dyDescent="0.25">
      <c r="A2258" s="101">
        <v>15.32</v>
      </c>
      <c r="B2258" s="102" t="s">
        <v>61</v>
      </c>
      <c r="C2258" s="103">
        <v>15.1</v>
      </c>
      <c r="D2258" s="167" t="s">
        <v>1999</v>
      </c>
      <c r="E2258" s="104" t="s">
        <v>3916</v>
      </c>
      <c r="F2258" s="102" t="s">
        <v>219</v>
      </c>
      <c r="G2258" s="105">
        <v>35</v>
      </c>
      <c r="H2258" s="106"/>
      <c r="I2258" s="107">
        <v>18832.310000000001</v>
      </c>
      <c r="J2258" s="192">
        <f>ROUND($I2258/$G2258*$N$12,2)</f>
        <v>601.83000000000004</v>
      </c>
      <c r="K2258" s="193">
        <f t="shared" si="219"/>
        <v>21064.05</v>
      </c>
      <c r="L2258" s="193"/>
      <c r="M2258" s="138"/>
      <c r="N2258" s="138"/>
      <c r="O2258" s="138"/>
      <c r="S2258" s="72"/>
      <c r="T2258" s="72"/>
      <c r="U2258" s="72"/>
      <c r="V2258" s="72"/>
    </row>
    <row r="2259" spans="1:22" s="63" customFormat="1" ht="15" x14ac:dyDescent="0.25">
      <c r="A2259" s="87">
        <v>15.33</v>
      </c>
      <c r="B2259" s="81" t="s">
        <v>61</v>
      </c>
      <c r="C2259" s="80">
        <v>15.2</v>
      </c>
      <c r="D2259" s="131" t="s">
        <v>2000</v>
      </c>
      <c r="E2259" s="83" t="s">
        <v>3917</v>
      </c>
      <c r="F2259" s="81" t="s">
        <v>219</v>
      </c>
      <c r="G2259" s="82">
        <v>35</v>
      </c>
      <c r="H2259" s="85"/>
      <c r="I2259" s="86">
        <v>20773.87</v>
      </c>
      <c r="J2259" s="185">
        <f>ROUND($I2259/$G2259*$N$11,2)</f>
        <v>675.8</v>
      </c>
      <c r="K2259" s="189">
        <f t="shared" si="219"/>
        <v>23653</v>
      </c>
      <c r="L2259" s="189"/>
      <c r="M2259" s="138"/>
      <c r="N2259" s="138"/>
      <c r="O2259" s="138"/>
      <c r="S2259" s="72"/>
      <c r="T2259" s="72"/>
      <c r="U2259" s="72"/>
      <c r="V2259" s="72"/>
    </row>
    <row r="2260" spans="1:22" s="63" customFormat="1" ht="15" x14ac:dyDescent="0.25">
      <c r="A2260" s="87">
        <v>15.34</v>
      </c>
      <c r="B2260" s="81" t="s">
        <v>61</v>
      </c>
      <c r="C2260" s="82">
        <v>16</v>
      </c>
      <c r="D2260" s="131" t="s">
        <v>2001</v>
      </c>
      <c r="E2260" s="83" t="s">
        <v>2002</v>
      </c>
      <c r="F2260" s="81" t="s">
        <v>216</v>
      </c>
      <c r="G2260" s="87">
        <v>0.55000000000000004</v>
      </c>
      <c r="H2260" s="85"/>
      <c r="I2260" s="86">
        <v>47538.37</v>
      </c>
      <c r="J2260" s="185">
        <f>ROUND($I2260/$G2260*$N$11,2)</f>
        <v>98413.07</v>
      </c>
      <c r="K2260" s="189">
        <f t="shared" si="219"/>
        <v>54127.19</v>
      </c>
      <c r="L2260" s="189"/>
      <c r="M2260" s="138"/>
      <c r="N2260" s="138"/>
      <c r="O2260" s="138"/>
      <c r="S2260" s="72"/>
      <c r="T2260" s="72"/>
      <c r="U2260" s="72"/>
      <c r="V2260" s="72"/>
    </row>
    <row r="2261" spans="1:22" s="63" customFormat="1" ht="15" x14ac:dyDescent="0.25">
      <c r="A2261" s="87">
        <v>15.35</v>
      </c>
      <c r="B2261" s="81" t="s">
        <v>61</v>
      </c>
      <c r="C2261" s="82">
        <v>17</v>
      </c>
      <c r="D2261" s="131" t="s">
        <v>733</v>
      </c>
      <c r="E2261" s="83" t="s">
        <v>734</v>
      </c>
      <c r="F2261" s="81" t="s">
        <v>219</v>
      </c>
      <c r="G2261" s="82">
        <v>15</v>
      </c>
      <c r="H2261" s="85"/>
      <c r="I2261" s="86">
        <v>15236.12</v>
      </c>
      <c r="J2261" s="185">
        <f>ROUND($I2261/$G2261*$N$11,2)</f>
        <v>1156.52</v>
      </c>
      <c r="K2261" s="189">
        <f t="shared" si="219"/>
        <v>17347.8</v>
      </c>
      <c r="L2261" s="189"/>
      <c r="M2261" s="138"/>
      <c r="N2261" s="138"/>
      <c r="O2261" s="138"/>
      <c r="S2261" s="72"/>
      <c r="T2261" s="72"/>
      <c r="U2261" s="72"/>
      <c r="V2261" s="72"/>
    </row>
    <row r="2262" spans="1:22" s="63" customFormat="1" ht="22.5" x14ac:dyDescent="0.25">
      <c r="A2262" s="101">
        <v>15.36</v>
      </c>
      <c r="B2262" s="102" t="s">
        <v>61</v>
      </c>
      <c r="C2262" s="103">
        <v>17.100000000000001</v>
      </c>
      <c r="D2262" s="167" t="s">
        <v>2003</v>
      </c>
      <c r="E2262" s="104" t="s">
        <v>2004</v>
      </c>
      <c r="F2262" s="102" t="s">
        <v>219</v>
      </c>
      <c r="G2262" s="105">
        <v>5</v>
      </c>
      <c r="H2262" s="106"/>
      <c r="I2262" s="107">
        <v>31446.23</v>
      </c>
      <c r="J2262" s="192">
        <f>ROUND($I2262/$G2262*$N$12,2)</f>
        <v>7034.52</v>
      </c>
      <c r="K2262" s="193">
        <f t="shared" si="219"/>
        <v>35172.6</v>
      </c>
      <c r="L2262" s="193"/>
      <c r="M2262" s="138"/>
      <c r="N2262" s="138"/>
      <c r="O2262" s="138"/>
      <c r="S2262" s="72"/>
      <c r="T2262" s="72"/>
      <c r="U2262" s="72"/>
      <c r="V2262" s="72"/>
    </row>
    <row r="2263" spans="1:22" s="63" customFormat="1" ht="22.5" x14ac:dyDescent="0.25">
      <c r="A2263" s="101">
        <v>15.37</v>
      </c>
      <c r="B2263" s="102" t="s">
        <v>61</v>
      </c>
      <c r="C2263" s="103">
        <v>17.2</v>
      </c>
      <c r="D2263" s="167" t="s">
        <v>1341</v>
      </c>
      <c r="E2263" s="104" t="s">
        <v>1342</v>
      </c>
      <c r="F2263" s="102" t="s">
        <v>219</v>
      </c>
      <c r="G2263" s="105">
        <v>5</v>
      </c>
      <c r="H2263" s="106"/>
      <c r="I2263" s="107">
        <v>19180.11</v>
      </c>
      <c r="J2263" s="192">
        <f>ROUND($I2263/$G2263*$N$12,2)</f>
        <v>4290.59</v>
      </c>
      <c r="K2263" s="193">
        <f t="shared" si="219"/>
        <v>21452.95</v>
      </c>
      <c r="L2263" s="193"/>
      <c r="M2263" s="138"/>
      <c r="N2263" s="138"/>
      <c r="O2263" s="138"/>
      <c r="S2263" s="72"/>
      <c r="T2263" s="72"/>
      <c r="U2263" s="72"/>
      <c r="V2263" s="72"/>
    </row>
    <row r="2264" spans="1:22" s="63" customFormat="1" ht="22.5" x14ac:dyDescent="0.25">
      <c r="A2264" s="101">
        <v>15.38</v>
      </c>
      <c r="B2264" s="102" t="s">
        <v>61</v>
      </c>
      <c r="C2264" s="103">
        <v>17.3</v>
      </c>
      <c r="D2264" s="167" t="s">
        <v>2005</v>
      </c>
      <c r="E2264" s="104" t="s">
        <v>2006</v>
      </c>
      <c r="F2264" s="102" t="s">
        <v>219</v>
      </c>
      <c r="G2264" s="105">
        <v>5</v>
      </c>
      <c r="H2264" s="106"/>
      <c r="I2264" s="107">
        <v>84715.34</v>
      </c>
      <c r="J2264" s="192">
        <f>ROUND($I2264/$G2264*$N$12,2)</f>
        <v>18950.82</v>
      </c>
      <c r="K2264" s="193">
        <f t="shared" si="219"/>
        <v>94754.1</v>
      </c>
      <c r="L2264" s="193"/>
      <c r="M2264" s="138"/>
      <c r="N2264" s="138"/>
      <c r="O2264" s="138"/>
      <c r="S2264" s="72"/>
      <c r="T2264" s="72"/>
      <c r="U2264" s="72"/>
      <c r="V2264" s="72"/>
    </row>
    <row r="2265" spans="1:22" s="275" customFormat="1" ht="12.75" x14ac:dyDescent="0.25">
      <c r="A2265" s="273"/>
      <c r="B2265" s="263"/>
      <c r="C2265" s="262"/>
      <c r="D2265" s="219"/>
      <c r="E2265" s="248" t="s">
        <v>3340</v>
      </c>
      <c r="F2265" s="263"/>
      <c r="G2265" s="216"/>
      <c r="H2265" s="264"/>
      <c r="I2265" s="221"/>
      <c r="J2265" s="265"/>
      <c r="K2265" s="266"/>
      <c r="L2265" s="266"/>
      <c r="M2265" s="274"/>
      <c r="N2265" s="274"/>
      <c r="O2265" s="274"/>
      <c r="S2265" s="276"/>
      <c r="T2265" s="276"/>
      <c r="U2265" s="276"/>
      <c r="V2265" s="276"/>
    </row>
    <row r="2266" spans="1:22" s="63" customFormat="1" ht="22.5" x14ac:dyDescent="0.25">
      <c r="A2266" s="87">
        <v>15.39</v>
      </c>
      <c r="B2266" s="81" t="s">
        <v>61</v>
      </c>
      <c r="C2266" s="82">
        <v>18</v>
      </c>
      <c r="D2266" s="131" t="s">
        <v>2007</v>
      </c>
      <c r="E2266" s="83" t="s">
        <v>2008</v>
      </c>
      <c r="F2266" s="81" t="s">
        <v>219</v>
      </c>
      <c r="G2266" s="82">
        <v>2</v>
      </c>
      <c r="H2266" s="85"/>
      <c r="I2266" s="86">
        <v>7583.2</v>
      </c>
      <c r="J2266" s="185">
        <f t="shared" ref="J2266:J2297" si="220">ROUND($I2266/$G2266*$N$11,2)</f>
        <v>4317.12</v>
      </c>
      <c r="K2266" s="189">
        <f t="shared" ref="K2266:K2297" si="221">ROUND(G2266*J2266,2)</f>
        <v>8634.24</v>
      </c>
      <c r="L2266" s="189"/>
      <c r="M2266" s="138"/>
      <c r="N2266" s="138"/>
      <c r="O2266" s="138"/>
      <c r="S2266" s="72"/>
      <c r="T2266" s="72"/>
      <c r="U2266" s="72"/>
      <c r="V2266" s="72"/>
    </row>
    <row r="2267" spans="1:22" s="63" customFormat="1" ht="22.5" x14ac:dyDescent="0.25">
      <c r="A2267" s="87">
        <v>15.4</v>
      </c>
      <c r="B2267" s="81" t="s">
        <v>61</v>
      </c>
      <c r="C2267" s="80">
        <v>18.100000000000001</v>
      </c>
      <c r="D2267" s="131" t="s">
        <v>2009</v>
      </c>
      <c r="E2267" s="83" t="s">
        <v>2010</v>
      </c>
      <c r="F2267" s="81" t="s">
        <v>219</v>
      </c>
      <c r="G2267" s="82">
        <v>2</v>
      </c>
      <c r="H2267" s="85"/>
      <c r="I2267" s="86">
        <v>10396.700000000001</v>
      </c>
      <c r="J2267" s="185">
        <f t="shared" si="220"/>
        <v>5918.84</v>
      </c>
      <c r="K2267" s="189">
        <f t="shared" si="221"/>
        <v>11837.68</v>
      </c>
      <c r="L2267" s="189"/>
      <c r="M2267" s="138"/>
      <c r="N2267" s="138"/>
      <c r="O2267" s="138"/>
      <c r="S2267" s="72"/>
      <c r="T2267" s="72"/>
      <c r="U2267" s="72"/>
      <c r="V2267" s="72"/>
    </row>
    <row r="2268" spans="1:22" s="63" customFormat="1" ht="22.5" x14ac:dyDescent="0.25">
      <c r="A2268" s="87">
        <v>15.41</v>
      </c>
      <c r="B2268" s="81" t="s">
        <v>61</v>
      </c>
      <c r="C2268" s="82">
        <v>19</v>
      </c>
      <c r="D2268" s="131" t="s">
        <v>745</v>
      </c>
      <c r="E2268" s="83" t="s">
        <v>746</v>
      </c>
      <c r="F2268" s="81" t="s">
        <v>219</v>
      </c>
      <c r="G2268" s="82">
        <v>8</v>
      </c>
      <c r="H2268" s="85"/>
      <c r="I2268" s="86">
        <v>15350.26</v>
      </c>
      <c r="J2268" s="185">
        <f t="shared" si="220"/>
        <v>2184.73</v>
      </c>
      <c r="K2268" s="189">
        <f t="shared" si="221"/>
        <v>17477.84</v>
      </c>
      <c r="L2268" s="189"/>
      <c r="M2268" s="138"/>
      <c r="N2268" s="138"/>
      <c r="O2268" s="138"/>
      <c r="S2268" s="72"/>
      <c r="T2268" s="72"/>
      <c r="U2268" s="72"/>
      <c r="V2268" s="72"/>
    </row>
    <row r="2269" spans="1:22" s="63" customFormat="1" ht="22.5" x14ac:dyDescent="0.25">
      <c r="A2269" s="87">
        <v>15.42</v>
      </c>
      <c r="B2269" s="81" t="s">
        <v>61</v>
      </c>
      <c r="C2269" s="80">
        <v>19.100000000000001</v>
      </c>
      <c r="D2269" s="131" t="s">
        <v>2011</v>
      </c>
      <c r="E2269" s="83" t="s">
        <v>2012</v>
      </c>
      <c r="F2269" s="81" t="s">
        <v>219</v>
      </c>
      <c r="G2269" s="82">
        <v>8</v>
      </c>
      <c r="H2269" s="85"/>
      <c r="I2269" s="86">
        <v>33866.9</v>
      </c>
      <c r="J2269" s="185">
        <f t="shared" si="220"/>
        <v>4820.1099999999997</v>
      </c>
      <c r="K2269" s="189">
        <f t="shared" si="221"/>
        <v>38560.879999999997</v>
      </c>
      <c r="L2269" s="189"/>
      <c r="M2269" s="138"/>
      <c r="N2269" s="138"/>
      <c r="O2269" s="138"/>
      <c r="S2269" s="72"/>
      <c r="T2269" s="72"/>
      <c r="U2269" s="72"/>
      <c r="V2269" s="72"/>
    </row>
    <row r="2270" spans="1:22" s="63" customFormat="1" ht="22.5" x14ac:dyDescent="0.25">
      <c r="A2270" s="87">
        <v>15.43</v>
      </c>
      <c r="B2270" s="81" t="s">
        <v>61</v>
      </c>
      <c r="C2270" s="80">
        <v>19.2</v>
      </c>
      <c r="D2270" s="131" t="s">
        <v>2013</v>
      </c>
      <c r="E2270" s="83" t="s">
        <v>2014</v>
      </c>
      <c r="F2270" s="81" t="s">
        <v>219</v>
      </c>
      <c r="G2270" s="82">
        <v>3</v>
      </c>
      <c r="H2270" s="85"/>
      <c r="I2270" s="86">
        <v>4758.97</v>
      </c>
      <c r="J2270" s="185">
        <f t="shared" si="220"/>
        <v>1806.19</v>
      </c>
      <c r="K2270" s="189">
        <f t="shared" si="221"/>
        <v>5418.57</v>
      </c>
      <c r="L2270" s="189"/>
      <c r="M2270" s="138"/>
      <c r="N2270" s="138"/>
      <c r="O2270" s="138"/>
      <c r="S2270" s="72"/>
      <c r="T2270" s="72"/>
      <c r="U2270" s="72"/>
      <c r="V2270" s="72"/>
    </row>
    <row r="2271" spans="1:22" s="63" customFormat="1" ht="22.5" x14ac:dyDescent="0.25">
      <c r="A2271" s="87">
        <v>15.44</v>
      </c>
      <c r="B2271" s="81" t="s">
        <v>61</v>
      </c>
      <c r="C2271" s="80">
        <v>19.3</v>
      </c>
      <c r="D2271" s="131" t="s">
        <v>2015</v>
      </c>
      <c r="E2271" s="83" t="s">
        <v>2016</v>
      </c>
      <c r="F2271" s="81" t="s">
        <v>219</v>
      </c>
      <c r="G2271" s="82">
        <v>8</v>
      </c>
      <c r="H2271" s="85"/>
      <c r="I2271" s="86">
        <v>10540.92</v>
      </c>
      <c r="J2271" s="185">
        <f t="shared" si="220"/>
        <v>1500.24</v>
      </c>
      <c r="K2271" s="189">
        <f t="shared" si="221"/>
        <v>12001.92</v>
      </c>
      <c r="L2271" s="189"/>
      <c r="M2271" s="138"/>
      <c r="N2271" s="138"/>
      <c r="O2271" s="138"/>
      <c r="S2271" s="72"/>
      <c r="T2271" s="72"/>
      <c r="U2271" s="72"/>
      <c r="V2271" s="72"/>
    </row>
    <row r="2272" spans="1:22" s="63" customFormat="1" ht="22.5" x14ac:dyDescent="0.25">
      <c r="A2272" s="87">
        <v>15.45</v>
      </c>
      <c r="B2272" s="81" t="s">
        <v>61</v>
      </c>
      <c r="C2272" s="80">
        <v>19.399999999999999</v>
      </c>
      <c r="D2272" s="131" t="s">
        <v>2017</v>
      </c>
      <c r="E2272" s="83" t="s">
        <v>2018</v>
      </c>
      <c r="F2272" s="81" t="s">
        <v>219</v>
      </c>
      <c r="G2272" s="82">
        <v>8</v>
      </c>
      <c r="H2272" s="85"/>
      <c r="I2272" s="86">
        <v>9258.64</v>
      </c>
      <c r="J2272" s="185">
        <f t="shared" si="220"/>
        <v>1317.74</v>
      </c>
      <c r="K2272" s="189">
        <f t="shared" si="221"/>
        <v>10541.92</v>
      </c>
      <c r="L2272" s="189"/>
      <c r="M2272" s="138"/>
      <c r="N2272" s="138"/>
      <c r="O2272" s="138"/>
      <c r="S2272" s="72"/>
      <c r="T2272" s="72"/>
      <c r="U2272" s="72"/>
      <c r="V2272" s="72"/>
    </row>
    <row r="2273" spans="1:22" s="63" customFormat="1" ht="22.5" x14ac:dyDescent="0.25">
      <c r="A2273" s="87">
        <v>15.46</v>
      </c>
      <c r="B2273" s="81" t="s">
        <v>61</v>
      </c>
      <c r="C2273" s="80">
        <v>19.5</v>
      </c>
      <c r="D2273" s="131" t="s">
        <v>2019</v>
      </c>
      <c r="E2273" s="83" t="s">
        <v>2020</v>
      </c>
      <c r="F2273" s="81" t="s">
        <v>219</v>
      </c>
      <c r="G2273" s="82">
        <v>7</v>
      </c>
      <c r="H2273" s="85"/>
      <c r="I2273" s="86">
        <v>4847.24</v>
      </c>
      <c r="J2273" s="185">
        <f t="shared" si="220"/>
        <v>788.44</v>
      </c>
      <c r="K2273" s="189">
        <f t="shared" si="221"/>
        <v>5519.08</v>
      </c>
      <c r="L2273" s="189"/>
      <c r="M2273" s="138"/>
      <c r="N2273" s="138"/>
      <c r="O2273" s="138"/>
      <c r="S2273" s="72"/>
      <c r="T2273" s="72"/>
      <c r="U2273" s="72"/>
      <c r="V2273" s="72"/>
    </row>
    <row r="2274" spans="1:22" s="63" customFormat="1" ht="22.5" x14ac:dyDescent="0.25">
      <c r="A2274" s="87">
        <v>15.47</v>
      </c>
      <c r="B2274" s="81" t="s">
        <v>61</v>
      </c>
      <c r="C2274" s="80">
        <v>19.600000000000001</v>
      </c>
      <c r="D2274" s="131" t="s">
        <v>2021</v>
      </c>
      <c r="E2274" s="83" t="s">
        <v>2022</v>
      </c>
      <c r="F2274" s="81" t="s">
        <v>219</v>
      </c>
      <c r="G2274" s="82">
        <v>8</v>
      </c>
      <c r="H2274" s="85"/>
      <c r="I2274" s="86">
        <v>10245.39</v>
      </c>
      <c r="J2274" s="185">
        <f t="shared" si="220"/>
        <v>1458.18</v>
      </c>
      <c r="K2274" s="189">
        <f t="shared" si="221"/>
        <v>11665.44</v>
      </c>
      <c r="L2274" s="189"/>
      <c r="M2274" s="138"/>
      <c r="N2274" s="138"/>
      <c r="O2274" s="138"/>
      <c r="S2274" s="72"/>
      <c r="T2274" s="72"/>
      <c r="U2274" s="72"/>
      <c r="V2274" s="72"/>
    </row>
    <row r="2275" spans="1:22" s="63" customFormat="1" ht="22.5" x14ac:dyDescent="0.25">
      <c r="A2275" s="87">
        <v>15.48</v>
      </c>
      <c r="B2275" s="81" t="s">
        <v>61</v>
      </c>
      <c r="C2275" s="80">
        <v>19.7</v>
      </c>
      <c r="D2275" s="131" t="s">
        <v>865</v>
      </c>
      <c r="E2275" s="83" t="s">
        <v>866</v>
      </c>
      <c r="F2275" s="81" t="s">
        <v>219</v>
      </c>
      <c r="G2275" s="82">
        <v>5</v>
      </c>
      <c r="H2275" s="85"/>
      <c r="I2275" s="86">
        <v>2043.29</v>
      </c>
      <c r="J2275" s="185">
        <f t="shared" si="220"/>
        <v>465.3</v>
      </c>
      <c r="K2275" s="189">
        <f t="shared" si="221"/>
        <v>2326.5</v>
      </c>
      <c r="L2275" s="189"/>
      <c r="M2275" s="138"/>
      <c r="N2275" s="138"/>
      <c r="O2275" s="138"/>
      <c r="S2275" s="72"/>
      <c r="T2275" s="72"/>
      <c r="U2275" s="72"/>
      <c r="V2275" s="72"/>
    </row>
    <row r="2276" spans="1:22" s="63" customFormat="1" ht="22.5" x14ac:dyDescent="0.25">
      <c r="A2276" s="87">
        <v>15.49</v>
      </c>
      <c r="B2276" s="81" t="s">
        <v>61</v>
      </c>
      <c r="C2276" s="80">
        <v>19.8</v>
      </c>
      <c r="D2276" s="131" t="s">
        <v>2023</v>
      </c>
      <c r="E2276" s="83" t="s">
        <v>2024</v>
      </c>
      <c r="F2276" s="81" t="s">
        <v>219</v>
      </c>
      <c r="G2276" s="82">
        <v>2</v>
      </c>
      <c r="H2276" s="85"/>
      <c r="I2276" s="86">
        <v>1535</v>
      </c>
      <c r="J2276" s="185">
        <f t="shared" si="220"/>
        <v>873.88</v>
      </c>
      <c r="K2276" s="189">
        <f t="shared" si="221"/>
        <v>1747.76</v>
      </c>
      <c r="L2276" s="189"/>
      <c r="M2276" s="138"/>
      <c r="N2276" s="138"/>
      <c r="O2276" s="138"/>
      <c r="S2276" s="72"/>
      <c r="T2276" s="72"/>
      <c r="U2276" s="72"/>
      <c r="V2276" s="72"/>
    </row>
    <row r="2277" spans="1:22" s="63" customFormat="1" ht="22.5" x14ac:dyDescent="0.25">
      <c r="A2277" s="87">
        <v>15.5</v>
      </c>
      <c r="B2277" s="81" t="s">
        <v>61</v>
      </c>
      <c r="C2277" s="80">
        <v>19.899999999999999</v>
      </c>
      <c r="D2277" s="131" t="s">
        <v>2025</v>
      </c>
      <c r="E2277" s="83" t="s">
        <v>2026</v>
      </c>
      <c r="F2277" s="81" t="s">
        <v>219</v>
      </c>
      <c r="G2277" s="82">
        <v>2</v>
      </c>
      <c r="H2277" s="85"/>
      <c r="I2277" s="86">
        <v>17419.900000000001</v>
      </c>
      <c r="J2277" s="185">
        <f t="shared" si="220"/>
        <v>9917.15</v>
      </c>
      <c r="K2277" s="189">
        <f t="shared" si="221"/>
        <v>19834.3</v>
      </c>
      <c r="L2277" s="189"/>
      <c r="M2277" s="138"/>
      <c r="N2277" s="138"/>
      <c r="O2277" s="138"/>
      <c r="S2277" s="72"/>
      <c r="T2277" s="72"/>
      <c r="U2277" s="72"/>
      <c r="V2277" s="72"/>
    </row>
    <row r="2278" spans="1:22" s="63" customFormat="1" ht="22.5" x14ac:dyDescent="0.25">
      <c r="A2278" s="87">
        <v>15.51</v>
      </c>
      <c r="B2278" s="81" t="s">
        <v>61</v>
      </c>
      <c r="C2278" s="87">
        <v>19.100000000000001</v>
      </c>
      <c r="D2278" s="131" t="s">
        <v>2027</v>
      </c>
      <c r="E2278" s="83" t="s">
        <v>2028</v>
      </c>
      <c r="F2278" s="81" t="s">
        <v>219</v>
      </c>
      <c r="G2278" s="82">
        <v>1</v>
      </c>
      <c r="H2278" s="85"/>
      <c r="I2278" s="86">
        <v>1614.3</v>
      </c>
      <c r="J2278" s="185">
        <f t="shared" si="220"/>
        <v>1838.04</v>
      </c>
      <c r="K2278" s="189">
        <f t="shared" si="221"/>
        <v>1838.04</v>
      </c>
      <c r="L2278" s="189"/>
      <c r="M2278" s="138"/>
      <c r="N2278" s="138"/>
      <c r="O2278" s="138"/>
      <c r="S2278" s="72"/>
      <c r="T2278" s="72"/>
      <c r="U2278" s="72"/>
      <c r="V2278" s="72"/>
    </row>
    <row r="2279" spans="1:22" s="63" customFormat="1" ht="22.5" x14ac:dyDescent="0.25">
      <c r="A2279" s="87">
        <v>15.52</v>
      </c>
      <c r="B2279" s="81" t="s">
        <v>61</v>
      </c>
      <c r="C2279" s="87">
        <v>19.11</v>
      </c>
      <c r="D2279" s="131" t="s">
        <v>2029</v>
      </c>
      <c r="E2279" s="83" t="s">
        <v>2030</v>
      </c>
      <c r="F2279" s="81" t="s">
        <v>219</v>
      </c>
      <c r="G2279" s="82">
        <v>2</v>
      </c>
      <c r="H2279" s="85"/>
      <c r="I2279" s="86">
        <v>2030.32</v>
      </c>
      <c r="J2279" s="185">
        <f t="shared" si="220"/>
        <v>1155.8599999999999</v>
      </c>
      <c r="K2279" s="189">
        <f t="shared" si="221"/>
        <v>2311.7199999999998</v>
      </c>
      <c r="L2279" s="189"/>
      <c r="M2279" s="138"/>
      <c r="N2279" s="138"/>
      <c r="O2279" s="138"/>
      <c r="S2279" s="72"/>
      <c r="T2279" s="72"/>
      <c r="U2279" s="72"/>
      <c r="V2279" s="72"/>
    </row>
    <row r="2280" spans="1:22" s="63" customFormat="1" ht="22.5" x14ac:dyDescent="0.25">
      <c r="A2280" s="87">
        <v>15.53</v>
      </c>
      <c r="B2280" s="81" t="s">
        <v>61</v>
      </c>
      <c r="C2280" s="87">
        <v>19.12</v>
      </c>
      <c r="D2280" s="131" t="s">
        <v>2031</v>
      </c>
      <c r="E2280" s="83" t="s">
        <v>2032</v>
      </c>
      <c r="F2280" s="81" t="s">
        <v>219</v>
      </c>
      <c r="G2280" s="82">
        <v>2</v>
      </c>
      <c r="H2280" s="85"/>
      <c r="I2280" s="86">
        <v>1387.94</v>
      </c>
      <c r="J2280" s="185">
        <f t="shared" si="220"/>
        <v>790.15</v>
      </c>
      <c r="K2280" s="189">
        <f t="shared" si="221"/>
        <v>1580.3</v>
      </c>
      <c r="L2280" s="189"/>
      <c r="M2280" s="138"/>
      <c r="N2280" s="138"/>
      <c r="O2280" s="138"/>
      <c r="S2280" s="72"/>
      <c r="T2280" s="72"/>
      <c r="U2280" s="72"/>
      <c r="V2280" s="72"/>
    </row>
    <row r="2281" spans="1:22" s="63" customFormat="1" ht="15" x14ac:dyDescent="0.25">
      <c r="A2281" s="87">
        <v>15.54</v>
      </c>
      <c r="B2281" s="81" t="s">
        <v>61</v>
      </c>
      <c r="C2281" s="82">
        <v>20</v>
      </c>
      <c r="D2281" s="131" t="s">
        <v>2033</v>
      </c>
      <c r="E2281" s="83" t="s">
        <v>2034</v>
      </c>
      <c r="F2281" s="81" t="s">
        <v>566</v>
      </c>
      <c r="G2281" s="80">
        <v>0.1</v>
      </c>
      <c r="H2281" s="85"/>
      <c r="I2281" s="86">
        <v>1985.14</v>
      </c>
      <c r="J2281" s="185">
        <f t="shared" si="220"/>
        <v>22602.799999999999</v>
      </c>
      <c r="K2281" s="189">
        <f t="shared" si="221"/>
        <v>2260.2800000000002</v>
      </c>
      <c r="L2281" s="189"/>
      <c r="M2281" s="138"/>
      <c r="N2281" s="138"/>
      <c r="O2281" s="138"/>
      <c r="S2281" s="72"/>
      <c r="T2281" s="72"/>
      <c r="U2281" s="72"/>
      <c r="V2281" s="72"/>
    </row>
    <row r="2282" spans="1:22" s="63" customFormat="1" ht="22.5" x14ac:dyDescent="0.25">
      <c r="A2282" s="87">
        <v>15.55</v>
      </c>
      <c r="B2282" s="81" t="s">
        <v>61</v>
      </c>
      <c r="C2282" s="80">
        <v>20.100000000000001</v>
      </c>
      <c r="D2282" s="131" t="s">
        <v>2035</v>
      </c>
      <c r="E2282" s="83" t="s">
        <v>3918</v>
      </c>
      <c r="F2282" s="81" t="s">
        <v>219</v>
      </c>
      <c r="G2282" s="82">
        <v>1</v>
      </c>
      <c r="H2282" s="85"/>
      <c r="I2282" s="86">
        <v>4794.3100000000004</v>
      </c>
      <c r="J2282" s="185">
        <f t="shared" si="220"/>
        <v>5458.8</v>
      </c>
      <c r="K2282" s="189">
        <f t="shared" si="221"/>
        <v>5458.8</v>
      </c>
      <c r="L2282" s="189"/>
      <c r="M2282" s="138"/>
      <c r="N2282" s="138"/>
      <c r="O2282" s="138"/>
      <c r="S2282" s="72"/>
      <c r="T2282" s="72"/>
      <c r="U2282" s="72"/>
      <c r="V2282" s="72"/>
    </row>
    <row r="2283" spans="1:22" s="63" customFormat="1" ht="15" x14ac:dyDescent="0.25">
      <c r="A2283" s="87">
        <v>15.56</v>
      </c>
      <c r="B2283" s="81" t="s">
        <v>61</v>
      </c>
      <c r="C2283" s="82">
        <v>21</v>
      </c>
      <c r="D2283" s="131" t="s">
        <v>2036</v>
      </c>
      <c r="E2283" s="83" t="s">
        <v>2037</v>
      </c>
      <c r="F2283" s="81" t="s">
        <v>566</v>
      </c>
      <c r="G2283" s="80">
        <v>0.2</v>
      </c>
      <c r="H2283" s="85"/>
      <c r="I2283" s="86">
        <v>2584.0100000000002</v>
      </c>
      <c r="J2283" s="185">
        <f t="shared" si="220"/>
        <v>14710.77</v>
      </c>
      <c r="K2283" s="189">
        <f t="shared" si="221"/>
        <v>2942.15</v>
      </c>
      <c r="L2283" s="189"/>
      <c r="M2283" s="138"/>
      <c r="N2283" s="138"/>
      <c r="O2283" s="138"/>
      <c r="S2283" s="72"/>
      <c r="T2283" s="72"/>
      <c r="U2283" s="72"/>
      <c r="V2283" s="72"/>
    </row>
    <row r="2284" spans="1:22" s="63" customFormat="1" ht="22.5" x14ac:dyDescent="0.25">
      <c r="A2284" s="87">
        <v>15.57</v>
      </c>
      <c r="B2284" s="81" t="s">
        <v>61</v>
      </c>
      <c r="C2284" s="80">
        <v>21.1</v>
      </c>
      <c r="D2284" s="131" t="s">
        <v>2038</v>
      </c>
      <c r="E2284" s="83" t="s">
        <v>3919</v>
      </c>
      <c r="F2284" s="81" t="s">
        <v>219</v>
      </c>
      <c r="G2284" s="82">
        <v>2</v>
      </c>
      <c r="H2284" s="85"/>
      <c r="I2284" s="86">
        <v>3008.01</v>
      </c>
      <c r="J2284" s="185">
        <f t="shared" si="220"/>
        <v>1712.46</v>
      </c>
      <c r="K2284" s="189">
        <f t="shared" si="221"/>
        <v>3424.92</v>
      </c>
      <c r="L2284" s="189"/>
      <c r="M2284" s="138"/>
      <c r="N2284" s="138"/>
      <c r="O2284" s="138"/>
      <c r="S2284" s="72"/>
      <c r="T2284" s="72"/>
      <c r="U2284" s="72"/>
      <c r="V2284" s="72"/>
    </row>
    <row r="2285" spans="1:22" s="63" customFormat="1" ht="15" x14ac:dyDescent="0.25">
      <c r="A2285" s="87">
        <v>15.58</v>
      </c>
      <c r="B2285" s="81" t="s">
        <v>61</v>
      </c>
      <c r="C2285" s="82">
        <v>22</v>
      </c>
      <c r="D2285" s="131" t="s">
        <v>1976</v>
      </c>
      <c r="E2285" s="83" t="s">
        <v>1977</v>
      </c>
      <c r="F2285" s="81" t="s">
        <v>566</v>
      </c>
      <c r="G2285" s="80">
        <v>0.1</v>
      </c>
      <c r="H2285" s="85"/>
      <c r="I2285" s="86">
        <v>1288.3699999999999</v>
      </c>
      <c r="J2285" s="185">
        <f t="shared" si="220"/>
        <v>14669.38</v>
      </c>
      <c r="K2285" s="189">
        <f t="shared" si="221"/>
        <v>1466.94</v>
      </c>
      <c r="L2285" s="189"/>
      <c r="M2285" s="138"/>
      <c r="N2285" s="138"/>
      <c r="O2285" s="138"/>
      <c r="S2285" s="72"/>
      <c r="T2285" s="72"/>
      <c r="U2285" s="72"/>
      <c r="V2285" s="72"/>
    </row>
    <row r="2286" spans="1:22" s="63" customFormat="1" ht="33.75" x14ac:dyDescent="0.25">
      <c r="A2286" s="87">
        <v>15.59</v>
      </c>
      <c r="B2286" s="81" t="s">
        <v>61</v>
      </c>
      <c r="C2286" s="80">
        <v>22.1</v>
      </c>
      <c r="D2286" s="131" t="s">
        <v>2039</v>
      </c>
      <c r="E2286" s="83" t="s">
        <v>2040</v>
      </c>
      <c r="F2286" s="81" t="s">
        <v>219</v>
      </c>
      <c r="G2286" s="82">
        <v>1</v>
      </c>
      <c r="H2286" s="85"/>
      <c r="I2286" s="86">
        <v>17225.34</v>
      </c>
      <c r="J2286" s="185">
        <f t="shared" si="220"/>
        <v>19612.77</v>
      </c>
      <c r="K2286" s="189">
        <f t="shared" si="221"/>
        <v>19612.77</v>
      </c>
      <c r="L2286" s="189"/>
      <c r="M2286" s="138"/>
      <c r="N2286" s="138"/>
      <c r="O2286" s="138"/>
      <c r="S2286" s="72"/>
      <c r="T2286" s="72"/>
      <c r="U2286" s="72"/>
      <c r="V2286" s="72"/>
    </row>
    <row r="2287" spans="1:22" s="63" customFormat="1" ht="15" x14ac:dyDescent="0.25">
      <c r="A2287" s="87">
        <v>15.6</v>
      </c>
      <c r="B2287" s="81" t="s">
        <v>61</v>
      </c>
      <c r="C2287" s="82">
        <v>23</v>
      </c>
      <c r="D2287" s="131" t="s">
        <v>2041</v>
      </c>
      <c r="E2287" s="83" t="s">
        <v>2042</v>
      </c>
      <c r="F2287" s="81" t="s">
        <v>566</v>
      </c>
      <c r="G2287" s="80">
        <v>0.2</v>
      </c>
      <c r="H2287" s="85"/>
      <c r="I2287" s="86">
        <v>2105.13</v>
      </c>
      <c r="J2287" s="185">
        <f t="shared" si="220"/>
        <v>11984.51</v>
      </c>
      <c r="K2287" s="189">
        <f t="shared" si="221"/>
        <v>2396.9</v>
      </c>
      <c r="L2287" s="189"/>
      <c r="M2287" s="138"/>
      <c r="N2287" s="138"/>
      <c r="O2287" s="138"/>
      <c r="S2287" s="72"/>
      <c r="T2287" s="72"/>
      <c r="U2287" s="72"/>
      <c r="V2287" s="72"/>
    </row>
    <row r="2288" spans="1:22" s="63" customFormat="1" ht="33.75" x14ac:dyDescent="0.25">
      <c r="A2288" s="87">
        <v>15.61</v>
      </c>
      <c r="B2288" s="81" t="s">
        <v>61</v>
      </c>
      <c r="C2288" s="80">
        <v>23.1</v>
      </c>
      <c r="D2288" s="131" t="s">
        <v>2043</v>
      </c>
      <c r="E2288" s="83" t="s">
        <v>2044</v>
      </c>
      <c r="F2288" s="81" t="s">
        <v>219</v>
      </c>
      <c r="G2288" s="82">
        <v>2</v>
      </c>
      <c r="H2288" s="85"/>
      <c r="I2288" s="86">
        <v>27939.5</v>
      </c>
      <c r="J2288" s="185">
        <f t="shared" si="220"/>
        <v>15905.96</v>
      </c>
      <c r="K2288" s="189">
        <f t="shared" si="221"/>
        <v>31811.919999999998</v>
      </c>
      <c r="L2288" s="189"/>
      <c r="M2288" s="138"/>
      <c r="N2288" s="138"/>
      <c r="O2288" s="138"/>
      <c r="S2288" s="72"/>
      <c r="T2288" s="72"/>
      <c r="U2288" s="72"/>
      <c r="V2288" s="72"/>
    </row>
    <row r="2289" spans="1:22" s="63" customFormat="1" ht="15" x14ac:dyDescent="0.25">
      <c r="A2289" s="87">
        <v>15.62</v>
      </c>
      <c r="B2289" s="81" t="s">
        <v>61</v>
      </c>
      <c r="C2289" s="82">
        <v>24</v>
      </c>
      <c r="D2289" s="131" t="s">
        <v>854</v>
      </c>
      <c r="E2289" s="83" t="s">
        <v>855</v>
      </c>
      <c r="F2289" s="81" t="s">
        <v>566</v>
      </c>
      <c r="G2289" s="80">
        <v>0.2</v>
      </c>
      <c r="H2289" s="85"/>
      <c r="I2289" s="86">
        <v>2114.81</v>
      </c>
      <c r="J2289" s="185">
        <f t="shared" si="220"/>
        <v>12039.61</v>
      </c>
      <c r="K2289" s="189">
        <f t="shared" si="221"/>
        <v>2407.92</v>
      </c>
      <c r="L2289" s="189"/>
      <c r="M2289" s="138"/>
      <c r="N2289" s="138"/>
      <c r="O2289" s="138"/>
      <c r="S2289" s="72"/>
      <c r="T2289" s="72"/>
      <c r="U2289" s="72"/>
      <c r="V2289" s="72"/>
    </row>
    <row r="2290" spans="1:22" s="63" customFormat="1" ht="33.75" x14ac:dyDescent="0.25">
      <c r="A2290" s="87">
        <v>15.63</v>
      </c>
      <c r="B2290" s="81" t="s">
        <v>61</v>
      </c>
      <c r="C2290" s="80">
        <v>24.1</v>
      </c>
      <c r="D2290" s="131" t="s">
        <v>2045</v>
      </c>
      <c r="E2290" s="83" t="s">
        <v>2046</v>
      </c>
      <c r="F2290" s="81" t="s">
        <v>219</v>
      </c>
      <c r="G2290" s="82">
        <v>2</v>
      </c>
      <c r="H2290" s="85"/>
      <c r="I2290" s="86">
        <v>22396.43</v>
      </c>
      <c r="J2290" s="185">
        <f t="shared" si="220"/>
        <v>12750.29</v>
      </c>
      <c r="K2290" s="189">
        <f t="shared" si="221"/>
        <v>25500.58</v>
      </c>
      <c r="L2290" s="189"/>
      <c r="M2290" s="138"/>
      <c r="N2290" s="138"/>
      <c r="O2290" s="138"/>
      <c r="S2290" s="72"/>
      <c r="T2290" s="72"/>
      <c r="U2290" s="72"/>
      <c r="V2290" s="72"/>
    </row>
    <row r="2291" spans="1:22" s="63" customFormat="1" ht="15" x14ac:dyDescent="0.25">
      <c r="A2291" s="87">
        <v>15.64</v>
      </c>
      <c r="B2291" s="81" t="s">
        <v>61</v>
      </c>
      <c r="C2291" s="82">
        <v>25</v>
      </c>
      <c r="D2291" s="131" t="s">
        <v>717</v>
      </c>
      <c r="E2291" s="83" t="s">
        <v>718</v>
      </c>
      <c r="F2291" s="81" t="s">
        <v>219</v>
      </c>
      <c r="G2291" s="82">
        <v>10</v>
      </c>
      <c r="H2291" s="85"/>
      <c r="I2291" s="86">
        <v>21869.75</v>
      </c>
      <c r="J2291" s="185">
        <f t="shared" si="220"/>
        <v>2490.09</v>
      </c>
      <c r="K2291" s="189">
        <f t="shared" si="221"/>
        <v>24900.9</v>
      </c>
      <c r="L2291" s="189"/>
      <c r="M2291" s="138"/>
      <c r="N2291" s="138"/>
      <c r="O2291" s="138"/>
      <c r="S2291" s="72"/>
      <c r="T2291" s="72"/>
      <c r="U2291" s="72"/>
      <c r="V2291" s="72"/>
    </row>
    <row r="2292" spans="1:22" s="63" customFormat="1" ht="22.5" x14ac:dyDescent="0.25">
      <c r="A2292" s="87">
        <v>15.65</v>
      </c>
      <c r="B2292" s="81" t="s">
        <v>61</v>
      </c>
      <c r="C2292" s="80">
        <v>25.1</v>
      </c>
      <c r="D2292" s="131" t="s">
        <v>719</v>
      </c>
      <c r="E2292" s="83" t="s">
        <v>720</v>
      </c>
      <c r="F2292" s="81" t="s">
        <v>219</v>
      </c>
      <c r="G2292" s="82">
        <v>10</v>
      </c>
      <c r="H2292" s="85"/>
      <c r="I2292" s="86">
        <v>4330.78</v>
      </c>
      <c r="J2292" s="185">
        <f t="shared" si="220"/>
        <v>493.1</v>
      </c>
      <c r="K2292" s="189">
        <f t="shared" si="221"/>
        <v>4931</v>
      </c>
      <c r="L2292" s="189"/>
      <c r="M2292" s="138"/>
      <c r="N2292" s="138"/>
      <c r="O2292" s="138"/>
      <c r="S2292" s="72"/>
      <c r="T2292" s="72"/>
      <c r="U2292" s="72"/>
      <c r="V2292" s="72"/>
    </row>
    <row r="2293" spans="1:22" s="63" customFormat="1" ht="15" x14ac:dyDescent="0.25">
      <c r="A2293" s="87">
        <v>15.66</v>
      </c>
      <c r="B2293" s="81" t="s">
        <v>61</v>
      </c>
      <c r="C2293" s="82">
        <v>26</v>
      </c>
      <c r="D2293" s="131" t="s">
        <v>2047</v>
      </c>
      <c r="E2293" s="83" t="s">
        <v>2048</v>
      </c>
      <c r="F2293" s="81" t="s">
        <v>219</v>
      </c>
      <c r="G2293" s="82">
        <v>4</v>
      </c>
      <c r="H2293" s="85"/>
      <c r="I2293" s="86">
        <v>6129.18</v>
      </c>
      <c r="J2293" s="185">
        <f t="shared" si="220"/>
        <v>1744.67</v>
      </c>
      <c r="K2293" s="189">
        <f t="shared" si="221"/>
        <v>6978.68</v>
      </c>
      <c r="L2293" s="189"/>
      <c r="M2293" s="138"/>
      <c r="N2293" s="138"/>
      <c r="O2293" s="138"/>
      <c r="S2293" s="72"/>
      <c r="T2293" s="72"/>
      <c r="U2293" s="72"/>
      <c r="V2293" s="72"/>
    </row>
    <row r="2294" spans="1:22" s="63" customFormat="1" ht="22.5" x14ac:dyDescent="0.25">
      <c r="A2294" s="87">
        <v>15.67</v>
      </c>
      <c r="B2294" s="81" t="s">
        <v>61</v>
      </c>
      <c r="C2294" s="80">
        <v>26.1</v>
      </c>
      <c r="D2294" s="131" t="s">
        <v>2049</v>
      </c>
      <c r="E2294" s="83" t="s">
        <v>2050</v>
      </c>
      <c r="F2294" s="81" t="s">
        <v>219</v>
      </c>
      <c r="G2294" s="82">
        <v>4</v>
      </c>
      <c r="H2294" s="85"/>
      <c r="I2294" s="86">
        <v>39977.050000000003</v>
      </c>
      <c r="J2294" s="185">
        <f t="shared" si="220"/>
        <v>11379.47</v>
      </c>
      <c r="K2294" s="189">
        <f t="shared" si="221"/>
        <v>45517.88</v>
      </c>
      <c r="L2294" s="189"/>
      <c r="M2294" s="138"/>
      <c r="N2294" s="138"/>
      <c r="O2294" s="138"/>
      <c r="S2294" s="72"/>
      <c r="T2294" s="72"/>
      <c r="U2294" s="72"/>
      <c r="V2294" s="72"/>
    </row>
    <row r="2295" spans="1:22" s="63" customFormat="1" ht="15" x14ac:dyDescent="0.25">
      <c r="A2295" s="87">
        <v>15.68</v>
      </c>
      <c r="B2295" s="81" t="s">
        <v>61</v>
      </c>
      <c r="C2295" s="82">
        <v>27</v>
      </c>
      <c r="D2295" s="131" t="s">
        <v>1273</v>
      </c>
      <c r="E2295" s="83" t="s">
        <v>1274</v>
      </c>
      <c r="F2295" s="81" t="s">
        <v>370</v>
      </c>
      <c r="G2295" s="80">
        <v>0.1</v>
      </c>
      <c r="H2295" s="85"/>
      <c r="I2295" s="86">
        <v>620.37</v>
      </c>
      <c r="J2295" s="185">
        <f t="shared" si="220"/>
        <v>7063.53</v>
      </c>
      <c r="K2295" s="189">
        <f t="shared" si="221"/>
        <v>706.35</v>
      </c>
      <c r="L2295" s="189"/>
      <c r="M2295" s="138"/>
      <c r="N2295" s="138"/>
      <c r="O2295" s="138"/>
      <c r="S2295" s="72"/>
      <c r="T2295" s="72"/>
      <c r="U2295" s="72"/>
      <c r="V2295" s="72"/>
    </row>
    <row r="2296" spans="1:22" s="63" customFormat="1" ht="22.5" x14ac:dyDescent="0.25">
      <c r="A2296" s="87">
        <v>15.69</v>
      </c>
      <c r="B2296" s="81" t="s">
        <v>61</v>
      </c>
      <c r="C2296" s="80">
        <v>27.1</v>
      </c>
      <c r="D2296" s="131" t="s">
        <v>2051</v>
      </c>
      <c r="E2296" s="83" t="s">
        <v>2052</v>
      </c>
      <c r="F2296" s="81" t="s">
        <v>219</v>
      </c>
      <c r="G2296" s="82">
        <v>4</v>
      </c>
      <c r="H2296" s="85"/>
      <c r="I2296" s="86">
        <v>38908.61</v>
      </c>
      <c r="J2296" s="185">
        <f t="shared" si="220"/>
        <v>11075.34</v>
      </c>
      <c r="K2296" s="189">
        <f t="shared" si="221"/>
        <v>44301.36</v>
      </c>
      <c r="L2296" s="189"/>
      <c r="M2296" s="138"/>
      <c r="N2296" s="138"/>
      <c r="O2296" s="138"/>
      <c r="S2296" s="72"/>
      <c r="T2296" s="72"/>
      <c r="U2296" s="72"/>
      <c r="V2296" s="72"/>
    </row>
    <row r="2297" spans="1:22" s="63" customFormat="1" ht="22.5" x14ac:dyDescent="0.25">
      <c r="A2297" s="87">
        <v>15.7</v>
      </c>
      <c r="B2297" s="81" t="s">
        <v>61</v>
      </c>
      <c r="C2297" s="80">
        <v>27.2</v>
      </c>
      <c r="D2297" s="131" t="s">
        <v>2053</v>
      </c>
      <c r="E2297" s="83" t="s">
        <v>2054</v>
      </c>
      <c r="F2297" s="81" t="s">
        <v>219</v>
      </c>
      <c r="G2297" s="82">
        <v>4</v>
      </c>
      <c r="H2297" s="85"/>
      <c r="I2297" s="86">
        <v>5105.7299999999996</v>
      </c>
      <c r="J2297" s="185">
        <f t="shared" si="220"/>
        <v>1453.35</v>
      </c>
      <c r="K2297" s="189">
        <f t="shared" si="221"/>
        <v>5813.4</v>
      </c>
      <c r="L2297" s="189"/>
      <c r="M2297" s="138"/>
      <c r="N2297" s="138"/>
      <c r="O2297" s="138"/>
      <c r="S2297" s="72"/>
      <c r="T2297" s="72"/>
      <c r="U2297" s="72"/>
      <c r="V2297" s="72"/>
    </row>
    <row r="2298" spans="1:22" s="128" customFormat="1" ht="12.75" x14ac:dyDescent="0.25">
      <c r="A2298" s="237"/>
      <c r="B2298" s="125"/>
      <c r="C2298" s="236"/>
      <c r="D2298" s="77"/>
      <c r="E2298" s="126" t="s">
        <v>3341</v>
      </c>
      <c r="F2298" s="125"/>
      <c r="G2298" s="76"/>
      <c r="H2298" s="127"/>
      <c r="I2298" s="78"/>
      <c r="J2298" s="238"/>
      <c r="K2298" s="239"/>
      <c r="L2298" s="239"/>
      <c r="M2298" s="79"/>
      <c r="N2298" s="79"/>
      <c r="O2298" s="79"/>
      <c r="S2298" s="129"/>
      <c r="T2298" s="129"/>
      <c r="U2298" s="129"/>
      <c r="V2298" s="129"/>
    </row>
    <row r="2299" spans="1:22" s="63" customFormat="1" ht="22.5" x14ac:dyDescent="0.25">
      <c r="A2299" s="87">
        <v>15.71</v>
      </c>
      <c r="B2299" s="81" t="s">
        <v>61</v>
      </c>
      <c r="C2299" s="82">
        <v>28</v>
      </c>
      <c r="D2299" s="131" t="s">
        <v>305</v>
      </c>
      <c r="E2299" s="83" t="s">
        <v>306</v>
      </c>
      <c r="F2299" s="81" t="s">
        <v>226</v>
      </c>
      <c r="G2299" s="88">
        <v>1.3255999999999999</v>
      </c>
      <c r="H2299" s="85"/>
      <c r="I2299" s="86">
        <v>95434.48</v>
      </c>
      <c r="J2299" s="185">
        <f>ROUND($I2299/$G2299*$N$11,2)</f>
        <v>81971.710000000006</v>
      </c>
      <c r="K2299" s="189">
        <f t="shared" ref="K2299:K2313" si="222">ROUND(G2299*J2299,2)</f>
        <v>108661.7</v>
      </c>
      <c r="L2299" s="189"/>
      <c r="M2299" s="138"/>
      <c r="N2299" s="138"/>
      <c r="O2299" s="138"/>
      <c r="S2299" s="72"/>
      <c r="T2299" s="72"/>
      <c r="U2299" s="72"/>
      <c r="V2299" s="72"/>
    </row>
    <row r="2300" spans="1:22" s="63" customFormat="1" ht="22.5" x14ac:dyDescent="0.25">
      <c r="A2300" s="101">
        <v>15.72</v>
      </c>
      <c r="B2300" s="102" t="s">
        <v>61</v>
      </c>
      <c r="C2300" s="103">
        <v>28.1</v>
      </c>
      <c r="D2300" s="167" t="s">
        <v>2055</v>
      </c>
      <c r="E2300" s="104" t="s">
        <v>3920</v>
      </c>
      <c r="F2300" s="102" t="s">
        <v>219</v>
      </c>
      <c r="G2300" s="105">
        <v>24</v>
      </c>
      <c r="H2300" s="106"/>
      <c r="I2300" s="107">
        <v>437859.51</v>
      </c>
      <c r="J2300" s="192">
        <f>ROUND($I2300/$G2300*$N$12,2)</f>
        <v>20406.080000000002</v>
      </c>
      <c r="K2300" s="193">
        <f t="shared" si="222"/>
        <v>489745.91999999998</v>
      </c>
      <c r="L2300" s="193"/>
      <c r="M2300" s="138"/>
      <c r="N2300" s="138"/>
      <c r="O2300" s="138"/>
      <c r="S2300" s="72"/>
      <c r="T2300" s="72"/>
      <c r="U2300" s="72"/>
      <c r="V2300" s="72"/>
    </row>
    <row r="2301" spans="1:22" s="63" customFormat="1" ht="22.5" x14ac:dyDescent="0.25">
      <c r="A2301" s="101">
        <v>15.73</v>
      </c>
      <c r="B2301" s="102" t="s">
        <v>61</v>
      </c>
      <c r="C2301" s="103">
        <v>28.2</v>
      </c>
      <c r="D2301" s="167" t="s">
        <v>2056</v>
      </c>
      <c r="E2301" s="104" t="s">
        <v>3921</v>
      </c>
      <c r="F2301" s="102" t="s">
        <v>219</v>
      </c>
      <c r="G2301" s="105">
        <v>48</v>
      </c>
      <c r="H2301" s="106"/>
      <c r="I2301" s="107">
        <v>130348.22</v>
      </c>
      <c r="J2301" s="192">
        <f>ROUND($I2301/$G2301*$N$12,2)</f>
        <v>3037.39</v>
      </c>
      <c r="K2301" s="193">
        <f t="shared" si="222"/>
        <v>145794.72</v>
      </c>
      <c r="L2301" s="193"/>
      <c r="M2301" s="138"/>
      <c r="N2301" s="138"/>
      <c r="O2301" s="138"/>
      <c r="S2301" s="72"/>
      <c r="T2301" s="72"/>
      <c r="U2301" s="72"/>
      <c r="V2301" s="72"/>
    </row>
    <row r="2302" spans="1:22" s="63" customFormat="1" ht="22.5" x14ac:dyDescent="0.25">
      <c r="A2302" s="101">
        <v>15.74</v>
      </c>
      <c r="B2302" s="102" t="s">
        <v>61</v>
      </c>
      <c r="C2302" s="103">
        <v>28.3</v>
      </c>
      <c r="D2302" s="167" t="s">
        <v>2057</v>
      </c>
      <c r="E2302" s="104" t="s">
        <v>3922</v>
      </c>
      <c r="F2302" s="102" t="s">
        <v>219</v>
      </c>
      <c r="G2302" s="105">
        <v>4</v>
      </c>
      <c r="H2302" s="106"/>
      <c r="I2302" s="107">
        <v>5507.67</v>
      </c>
      <c r="J2302" s="192">
        <f>ROUND($I2302/$G2302*$N$12,2)</f>
        <v>1540.08</v>
      </c>
      <c r="K2302" s="193">
        <f t="shared" si="222"/>
        <v>6160.32</v>
      </c>
      <c r="L2302" s="193"/>
      <c r="M2302" s="138"/>
      <c r="N2302" s="138"/>
      <c r="O2302" s="138"/>
      <c r="S2302" s="72"/>
      <c r="T2302" s="72"/>
      <c r="U2302" s="72"/>
      <c r="V2302" s="72"/>
    </row>
    <row r="2303" spans="1:22" s="63" customFormat="1" ht="22.5" x14ac:dyDescent="0.25">
      <c r="A2303" s="101">
        <v>15.75</v>
      </c>
      <c r="B2303" s="102" t="s">
        <v>61</v>
      </c>
      <c r="C2303" s="103">
        <v>28.4</v>
      </c>
      <c r="D2303" s="167" t="s">
        <v>2058</v>
      </c>
      <c r="E2303" s="104" t="s">
        <v>3923</v>
      </c>
      <c r="F2303" s="102" t="s">
        <v>219</v>
      </c>
      <c r="G2303" s="105">
        <v>16</v>
      </c>
      <c r="H2303" s="106"/>
      <c r="I2303" s="107">
        <v>14075.04</v>
      </c>
      <c r="J2303" s="192">
        <f>ROUND($I2303/$G2303*$N$12,2)</f>
        <v>983.93</v>
      </c>
      <c r="K2303" s="193">
        <f t="shared" si="222"/>
        <v>15742.88</v>
      </c>
      <c r="L2303" s="193"/>
      <c r="M2303" s="138"/>
      <c r="N2303" s="138"/>
      <c r="O2303" s="138"/>
      <c r="S2303" s="72"/>
      <c r="T2303" s="72"/>
      <c r="U2303" s="72"/>
      <c r="V2303" s="72"/>
    </row>
    <row r="2304" spans="1:22" s="63" customFormat="1" ht="15" x14ac:dyDescent="0.25">
      <c r="A2304" s="87">
        <v>15.76</v>
      </c>
      <c r="B2304" s="81" t="s">
        <v>61</v>
      </c>
      <c r="C2304" s="82">
        <v>29</v>
      </c>
      <c r="D2304" s="131" t="s">
        <v>2059</v>
      </c>
      <c r="E2304" s="83" t="s">
        <v>2060</v>
      </c>
      <c r="F2304" s="81" t="s">
        <v>219</v>
      </c>
      <c r="G2304" s="82">
        <v>20</v>
      </c>
      <c r="H2304" s="85"/>
      <c r="I2304" s="86">
        <v>23740.29</v>
      </c>
      <c r="J2304" s="185">
        <f t="shared" ref="J2304:J2313" si="223">ROUND($I2304/$G2304*$N$11,2)</f>
        <v>1351.53</v>
      </c>
      <c r="K2304" s="189">
        <f t="shared" si="222"/>
        <v>27030.6</v>
      </c>
      <c r="L2304" s="189"/>
      <c r="M2304" s="138"/>
      <c r="N2304" s="138"/>
      <c r="O2304" s="138"/>
      <c r="S2304" s="72"/>
      <c r="T2304" s="72"/>
      <c r="U2304" s="72"/>
      <c r="V2304" s="72"/>
    </row>
    <row r="2305" spans="1:22" s="63" customFormat="1" ht="22.5" x14ac:dyDescent="0.25">
      <c r="A2305" s="87">
        <v>15.77</v>
      </c>
      <c r="B2305" s="81" t="s">
        <v>61</v>
      </c>
      <c r="C2305" s="80">
        <v>29.1</v>
      </c>
      <c r="D2305" s="131" t="s">
        <v>2061</v>
      </c>
      <c r="E2305" s="83" t="s">
        <v>3924</v>
      </c>
      <c r="F2305" s="81" t="s">
        <v>219</v>
      </c>
      <c r="G2305" s="82">
        <v>16</v>
      </c>
      <c r="H2305" s="85"/>
      <c r="I2305" s="86">
        <v>76052.14</v>
      </c>
      <c r="J2305" s="185">
        <f t="shared" si="223"/>
        <v>5412.06</v>
      </c>
      <c r="K2305" s="189">
        <f t="shared" si="222"/>
        <v>86592.960000000006</v>
      </c>
      <c r="L2305" s="189"/>
      <c r="M2305" s="138"/>
      <c r="N2305" s="138"/>
      <c r="O2305" s="138"/>
      <c r="S2305" s="72"/>
      <c r="T2305" s="72"/>
      <c r="U2305" s="72"/>
      <c r="V2305" s="72"/>
    </row>
    <row r="2306" spans="1:22" s="63" customFormat="1" ht="22.5" x14ac:dyDescent="0.25">
      <c r="A2306" s="87">
        <v>15.78</v>
      </c>
      <c r="B2306" s="81" t="s">
        <v>61</v>
      </c>
      <c r="C2306" s="80">
        <v>29.2</v>
      </c>
      <c r="D2306" s="131" t="s">
        <v>2062</v>
      </c>
      <c r="E2306" s="83" t="s">
        <v>3925</v>
      </c>
      <c r="F2306" s="81" t="s">
        <v>219</v>
      </c>
      <c r="G2306" s="82">
        <v>4</v>
      </c>
      <c r="H2306" s="85"/>
      <c r="I2306" s="86">
        <v>10030.49</v>
      </c>
      <c r="J2306" s="185">
        <f t="shared" si="223"/>
        <v>2855.18</v>
      </c>
      <c r="K2306" s="189">
        <f t="shared" si="222"/>
        <v>11420.72</v>
      </c>
      <c r="L2306" s="189"/>
      <c r="M2306" s="138"/>
      <c r="N2306" s="138"/>
      <c r="O2306" s="138"/>
      <c r="S2306" s="72"/>
      <c r="T2306" s="72"/>
      <c r="U2306" s="72"/>
      <c r="V2306" s="72"/>
    </row>
    <row r="2307" spans="1:22" s="63" customFormat="1" ht="15" x14ac:dyDescent="0.25">
      <c r="A2307" s="87">
        <v>15.79</v>
      </c>
      <c r="B2307" s="81" t="s">
        <v>61</v>
      </c>
      <c r="C2307" s="82">
        <v>30</v>
      </c>
      <c r="D2307" s="131" t="s">
        <v>2063</v>
      </c>
      <c r="E2307" s="83" t="s">
        <v>2064</v>
      </c>
      <c r="F2307" s="81" t="s">
        <v>216</v>
      </c>
      <c r="G2307" s="87">
        <v>0.04</v>
      </c>
      <c r="H2307" s="85"/>
      <c r="I2307" s="86">
        <v>4806.13</v>
      </c>
      <c r="J2307" s="185">
        <f t="shared" si="223"/>
        <v>136806.49</v>
      </c>
      <c r="K2307" s="189">
        <f t="shared" si="222"/>
        <v>5472.26</v>
      </c>
      <c r="L2307" s="189"/>
      <c r="M2307" s="138"/>
      <c r="N2307" s="138"/>
      <c r="O2307" s="138"/>
      <c r="S2307" s="72"/>
      <c r="T2307" s="72"/>
      <c r="U2307" s="72"/>
      <c r="V2307" s="72"/>
    </row>
    <row r="2308" spans="1:22" s="63" customFormat="1" ht="22.5" x14ac:dyDescent="0.25">
      <c r="A2308" s="87">
        <v>15.8</v>
      </c>
      <c r="B2308" s="81" t="s">
        <v>61</v>
      </c>
      <c r="C2308" s="80">
        <v>30.1</v>
      </c>
      <c r="D2308" s="131" t="s">
        <v>2065</v>
      </c>
      <c r="E2308" s="83" t="s">
        <v>2066</v>
      </c>
      <c r="F2308" s="81" t="s">
        <v>566</v>
      </c>
      <c r="G2308" s="80">
        <v>0.4</v>
      </c>
      <c r="H2308" s="85"/>
      <c r="I2308" s="86">
        <v>186.48</v>
      </c>
      <c r="J2308" s="185">
        <f t="shared" si="223"/>
        <v>530.82000000000005</v>
      </c>
      <c r="K2308" s="189">
        <f t="shared" si="222"/>
        <v>212.33</v>
      </c>
      <c r="L2308" s="189"/>
      <c r="M2308" s="138"/>
      <c r="N2308" s="138"/>
      <c r="O2308" s="138"/>
      <c r="S2308" s="72"/>
      <c r="T2308" s="72"/>
      <c r="U2308" s="72"/>
      <c r="V2308" s="72"/>
    </row>
    <row r="2309" spans="1:22" s="63" customFormat="1" ht="22.5" x14ac:dyDescent="0.25">
      <c r="A2309" s="87">
        <v>15.81</v>
      </c>
      <c r="B2309" s="81" t="s">
        <v>61</v>
      </c>
      <c r="C2309" s="82">
        <v>31</v>
      </c>
      <c r="D2309" s="131" t="s">
        <v>2067</v>
      </c>
      <c r="E2309" s="83" t="s">
        <v>2068</v>
      </c>
      <c r="F2309" s="81" t="s">
        <v>354</v>
      </c>
      <c r="G2309" s="80">
        <v>1.2</v>
      </c>
      <c r="H2309" s="85"/>
      <c r="I2309" s="86">
        <v>131912.51</v>
      </c>
      <c r="J2309" s="185">
        <f t="shared" si="223"/>
        <v>125162.99</v>
      </c>
      <c r="K2309" s="189">
        <f t="shared" si="222"/>
        <v>150195.59</v>
      </c>
      <c r="L2309" s="189"/>
      <c r="M2309" s="138"/>
      <c r="N2309" s="138"/>
      <c r="O2309" s="138"/>
      <c r="S2309" s="72"/>
      <c r="T2309" s="72"/>
      <c r="U2309" s="72"/>
      <c r="V2309" s="72"/>
    </row>
    <row r="2310" spans="1:22" s="63" customFormat="1" ht="22.5" x14ac:dyDescent="0.25">
      <c r="A2310" s="87">
        <v>15.82</v>
      </c>
      <c r="B2310" s="81" t="s">
        <v>61</v>
      </c>
      <c r="C2310" s="80">
        <v>31.1</v>
      </c>
      <c r="D2310" s="131" t="s">
        <v>2069</v>
      </c>
      <c r="E2310" s="83" t="s">
        <v>2070</v>
      </c>
      <c r="F2310" s="81" t="s">
        <v>334</v>
      </c>
      <c r="G2310" s="82">
        <v>80</v>
      </c>
      <c r="H2310" s="85"/>
      <c r="I2310" s="86">
        <v>123190.46</v>
      </c>
      <c r="J2310" s="185">
        <f t="shared" si="223"/>
        <v>1753.31</v>
      </c>
      <c r="K2310" s="189">
        <f t="shared" si="222"/>
        <v>140264.79999999999</v>
      </c>
      <c r="L2310" s="189"/>
      <c r="M2310" s="138"/>
      <c r="N2310" s="138"/>
      <c r="O2310" s="138"/>
      <c r="S2310" s="72"/>
      <c r="T2310" s="72"/>
      <c r="U2310" s="72"/>
      <c r="V2310" s="72"/>
    </row>
    <row r="2311" spans="1:22" s="63" customFormat="1" ht="22.5" x14ac:dyDescent="0.25">
      <c r="A2311" s="87">
        <v>15.83</v>
      </c>
      <c r="B2311" s="81" t="s">
        <v>61</v>
      </c>
      <c r="C2311" s="80">
        <v>31.2</v>
      </c>
      <c r="D2311" s="131" t="s">
        <v>2071</v>
      </c>
      <c r="E2311" s="83" t="s">
        <v>2072</v>
      </c>
      <c r="F2311" s="81" t="s">
        <v>334</v>
      </c>
      <c r="G2311" s="82">
        <v>40</v>
      </c>
      <c r="H2311" s="85"/>
      <c r="I2311" s="86">
        <v>44009.279999999999</v>
      </c>
      <c r="J2311" s="185">
        <f t="shared" si="223"/>
        <v>1252.72</v>
      </c>
      <c r="K2311" s="189">
        <f t="shared" si="222"/>
        <v>50108.800000000003</v>
      </c>
      <c r="L2311" s="189"/>
      <c r="M2311" s="138"/>
      <c r="N2311" s="138"/>
      <c r="O2311" s="138"/>
      <c r="S2311" s="72"/>
      <c r="T2311" s="72"/>
      <c r="U2311" s="72"/>
      <c r="V2311" s="72"/>
    </row>
    <row r="2312" spans="1:22" s="63" customFormat="1" ht="15" x14ac:dyDescent="0.25">
      <c r="A2312" s="87">
        <v>15.84</v>
      </c>
      <c r="B2312" s="81" t="s">
        <v>61</v>
      </c>
      <c r="C2312" s="82">
        <v>32</v>
      </c>
      <c r="D2312" s="131" t="s">
        <v>2073</v>
      </c>
      <c r="E2312" s="83" t="s">
        <v>2074</v>
      </c>
      <c r="F2312" s="81" t="s">
        <v>196</v>
      </c>
      <c r="G2312" s="87">
        <v>0.01</v>
      </c>
      <c r="H2312" s="85"/>
      <c r="I2312" s="86">
        <v>484.64</v>
      </c>
      <c r="J2312" s="185">
        <f t="shared" si="223"/>
        <v>55181.11</v>
      </c>
      <c r="K2312" s="189">
        <f t="shared" si="222"/>
        <v>551.80999999999995</v>
      </c>
      <c r="L2312" s="189"/>
      <c r="M2312" s="138"/>
      <c r="N2312" s="138"/>
      <c r="O2312" s="138"/>
      <c r="S2312" s="72"/>
      <c r="T2312" s="72"/>
      <c r="U2312" s="72"/>
      <c r="V2312" s="72"/>
    </row>
    <row r="2313" spans="1:22" s="63" customFormat="1" ht="22.5" x14ac:dyDescent="0.25">
      <c r="A2313" s="87">
        <v>15.85</v>
      </c>
      <c r="B2313" s="81" t="s">
        <v>61</v>
      </c>
      <c r="C2313" s="80">
        <v>32.1</v>
      </c>
      <c r="D2313" s="131" t="s">
        <v>2075</v>
      </c>
      <c r="E2313" s="83" t="s">
        <v>3926</v>
      </c>
      <c r="F2313" s="81" t="s">
        <v>219</v>
      </c>
      <c r="G2313" s="82">
        <v>5</v>
      </c>
      <c r="H2313" s="85"/>
      <c r="I2313" s="86">
        <v>2246.73</v>
      </c>
      <c r="J2313" s="185">
        <f t="shared" si="223"/>
        <v>511.63</v>
      </c>
      <c r="K2313" s="189">
        <f t="shared" si="222"/>
        <v>2558.15</v>
      </c>
      <c r="L2313" s="189"/>
      <c r="M2313" s="138"/>
      <c r="N2313" s="138"/>
      <c r="O2313" s="138"/>
      <c r="S2313" s="72"/>
      <c r="T2313" s="72"/>
      <c r="U2313" s="72"/>
      <c r="V2313" s="72"/>
    </row>
    <row r="2314" spans="1:22" s="128" customFormat="1" ht="12.75" x14ac:dyDescent="0.25">
      <c r="A2314" s="237"/>
      <c r="B2314" s="125"/>
      <c r="C2314" s="236"/>
      <c r="D2314" s="77"/>
      <c r="E2314" s="126" t="s">
        <v>3342</v>
      </c>
      <c r="F2314" s="125"/>
      <c r="G2314" s="76"/>
      <c r="H2314" s="127"/>
      <c r="I2314" s="78"/>
      <c r="J2314" s="238"/>
      <c r="K2314" s="239"/>
      <c r="L2314" s="239"/>
      <c r="M2314" s="79"/>
      <c r="N2314" s="79"/>
      <c r="O2314" s="79"/>
      <c r="S2314" s="129"/>
      <c r="T2314" s="129"/>
      <c r="U2314" s="129"/>
      <c r="V2314" s="129"/>
    </row>
    <row r="2315" spans="1:22" s="63" customFormat="1" ht="22.5" x14ac:dyDescent="0.25">
      <c r="A2315" s="87">
        <v>15.86</v>
      </c>
      <c r="B2315" s="81" t="s">
        <v>61</v>
      </c>
      <c r="C2315" s="82">
        <v>33</v>
      </c>
      <c r="D2315" s="131" t="s">
        <v>2076</v>
      </c>
      <c r="E2315" s="83" t="s">
        <v>2077</v>
      </c>
      <c r="F2315" s="81" t="s">
        <v>354</v>
      </c>
      <c r="G2315" s="87">
        <v>7.0000000000000007E-2</v>
      </c>
      <c r="H2315" s="85"/>
      <c r="I2315" s="86">
        <v>10599.84</v>
      </c>
      <c r="J2315" s="185">
        <f t="shared" ref="J2315:J2341" si="224">ROUND($I2315/$G2315*$N$11,2)</f>
        <v>172413.97</v>
      </c>
      <c r="K2315" s="189">
        <f t="shared" ref="K2315:K2341" si="225">ROUND(G2315*J2315,2)</f>
        <v>12068.98</v>
      </c>
      <c r="L2315" s="189"/>
      <c r="M2315" s="138"/>
      <c r="N2315" s="138"/>
      <c r="O2315" s="138"/>
      <c r="S2315" s="72"/>
      <c r="T2315" s="72"/>
      <c r="U2315" s="72"/>
      <c r="V2315" s="72"/>
    </row>
    <row r="2316" spans="1:22" s="63" customFormat="1" ht="22.5" x14ac:dyDescent="0.25">
      <c r="A2316" s="87">
        <v>15.87</v>
      </c>
      <c r="B2316" s="81" t="s">
        <v>61</v>
      </c>
      <c r="C2316" s="80">
        <v>33.1</v>
      </c>
      <c r="D2316" s="131" t="s">
        <v>2078</v>
      </c>
      <c r="E2316" s="83" t="s">
        <v>2079</v>
      </c>
      <c r="F2316" s="81" t="s">
        <v>334</v>
      </c>
      <c r="G2316" s="82">
        <v>7</v>
      </c>
      <c r="H2316" s="85"/>
      <c r="I2316" s="86">
        <v>7007.3</v>
      </c>
      <c r="J2316" s="185">
        <f t="shared" si="224"/>
        <v>1139.79</v>
      </c>
      <c r="K2316" s="189">
        <f t="shared" si="225"/>
        <v>7978.53</v>
      </c>
      <c r="L2316" s="189"/>
      <c r="M2316" s="138"/>
      <c r="N2316" s="138"/>
      <c r="O2316" s="138"/>
      <c r="S2316" s="72"/>
      <c r="T2316" s="72"/>
      <c r="U2316" s="72"/>
      <c r="V2316" s="72"/>
    </row>
    <row r="2317" spans="1:22" s="63" customFormat="1" ht="22.5" x14ac:dyDescent="0.25">
      <c r="A2317" s="87">
        <v>15.88</v>
      </c>
      <c r="B2317" s="81" t="s">
        <v>61</v>
      </c>
      <c r="C2317" s="82">
        <v>34</v>
      </c>
      <c r="D2317" s="131" t="s">
        <v>2080</v>
      </c>
      <c r="E2317" s="83" t="s">
        <v>2081</v>
      </c>
      <c r="F2317" s="81" t="s">
        <v>354</v>
      </c>
      <c r="G2317" s="87">
        <v>0.12</v>
      </c>
      <c r="H2317" s="85"/>
      <c r="I2317" s="86">
        <v>12463.13</v>
      </c>
      <c r="J2317" s="185">
        <f t="shared" si="224"/>
        <v>118254.33</v>
      </c>
      <c r="K2317" s="189">
        <f t="shared" si="225"/>
        <v>14190.52</v>
      </c>
      <c r="L2317" s="189"/>
      <c r="M2317" s="138"/>
      <c r="N2317" s="138"/>
      <c r="O2317" s="138"/>
      <c r="S2317" s="72"/>
      <c r="T2317" s="72"/>
      <c r="U2317" s="72"/>
      <c r="V2317" s="72"/>
    </row>
    <row r="2318" spans="1:22" s="63" customFormat="1" ht="22.5" x14ac:dyDescent="0.25">
      <c r="A2318" s="87">
        <v>15.89</v>
      </c>
      <c r="B2318" s="81" t="s">
        <v>61</v>
      </c>
      <c r="C2318" s="80">
        <v>34.1</v>
      </c>
      <c r="D2318" s="131" t="s">
        <v>2082</v>
      </c>
      <c r="E2318" s="83" t="s">
        <v>2083</v>
      </c>
      <c r="F2318" s="81" t="s">
        <v>334</v>
      </c>
      <c r="G2318" s="82">
        <v>12</v>
      </c>
      <c r="H2318" s="85"/>
      <c r="I2318" s="86">
        <v>9682.0400000000009</v>
      </c>
      <c r="J2318" s="185">
        <f t="shared" si="224"/>
        <v>918.66</v>
      </c>
      <c r="K2318" s="189">
        <f t="shared" si="225"/>
        <v>11023.92</v>
      </c>
      <c r="L2318" s="189"/>
      <c r="M2318" s="138"/>
      <c r="N2318" s="138"/>
      <c r="O2318" s="138"/>
      <c r="S2318" s="72"/>
      <c r="T2318" s="72"/>
      <c r="U2318" s="72"/>
      <c r="V2318" s="72"/>
    </row>
    <row r="2319" spans="1:22" s="63" customFormat="1" ht="22.5" x14ac:dyDescent="0.25">
      <c r="A2319" s="87">
        <v>15.9</v>
      </c>
      <c r="B2319" s="81" t="s">
        <v>61</v>
      </c>
      <c r="C2319" s="82">
        <v>35</v>
      </c>
      <c r="D2319" s="131" t="s">
        <v>2084</v>
      </c>
      <c r="E2319" s="83" t="s">
        <v>2085</v>
      </c>
      <c r="F2319" s="81" t="s">
        <v>354</v>
      </c>
      <c r="G2319" s="87">
        <v>0.04</v>
      </c>
      <c r="H2319" s="85"/>
      <c r="I2319" s="86">
        <v>3997.73</v>
      </c>
      <c r="J2319" s="185">
        <f t="shared" si="224"/>
        <v>113795.38</v>
      </c>
      <c r="K2319" s="189">
        <f t="shared" si="225"/>
        <v>4551.82</v>
      </c>
      <c r="L2319" s="189"/>
      <c r="M2319" s="138"/>
      <c r="N2319" s="138"/>
      <c r="O2319" s="138"/>
      <c r="S2319" s="72"/>
      <c r="T2319" s="72"/>
      <c r="U2319" s="72"/>
      <c r="V2319" s="72"/>
    </row>
    <row r="2320" spans="1:22" s="63" customFormat="1" ht="22.5" x14ac:dyDescent="0.25">
      <c r="A2320" s="87">
        <v>15.91</v>
      </c>
      <c r="B2320" s="81" t="s">
        <v>61</v>
      </c>
      <c r="C2320" s="80">
        <v>35.1</v>
      </c>
      <c r="D2320" s="131" t="s">
        <v>2086</v>
      </c>
      <c r="E2320" s="83" t="s">
        <v>2087</v>
      </c>
      <c r="F2320" s="81" t="s">
        <v>334</v>
      </c>
      <c r="G2320" s="82">
        <v>4</v>
      </c>
      <c r="H2320" s="85"/>
      <c r="I2320" s="86">
        <v>2188.7399999999998</v>
      </c>
      <c r="J2320" s="185">
        <f t="shared" si="224"/>
        <v>623.02</v>
      </c>
      <c r="K2320" s="189">
        <f t="shared" si="225"/>
        <v>2492.08</v>
      </c>
      <c r="L2320" s="189"/>
      <c r="M2320" s="138"/>
      <c r="N2320" s="138"/>
      <c r="O2320" s="138"/>
      <c r="S2320" s="72"/>
      <c r="T2320" s="72"/>
      <c r="U2320" s="72"/>
      <c r="V2320" s="72"/>
    </row>
    <row r="2321" spans="1:22" s="63" customFormat="1" ht="22.5" x14ac:dyDescent="0.25">
      <c r="A2321" s="87">
        <v>15.92</v>
      </c>
      <c r="B2321" s="81" t="s">
        <v>61</v>
      </c>
      <c r="C2321" s="82">
        <v>36</v>
      </c>
      <c r="D2321" s="131" t="s">
        <v>2088</v>
      </c>
      <c r="E2321" s="83" t="s">
        <v>2089</v>
      </c>
      <c r="F2321" s="81" t="s">
        <v>354</v>
      </c>
      <c r="G2321" s="87">
        <v>0.32</v>
      </c>
      <c r="H2321" s="85"/>
      <c r="I2321" s="86">
        <v>22088.23</v>
      </c>
      <c r="J2321" s="185">
        <f t="shared" si="224"/>
        <v>78592.679999999993</v>
      </c>
      <c r="K2321" s="189">
        <f t="shared" si="225"/>
        <v>25149.66</v>
      </c>
      <c r="L2321" s="189"/>
      <c r="M2321" s="138"/>
      <c r="N2321" s="138"/>
      <c r="O2321" s="138"/>
      <c r="S2321" s="72"/>
      <c r="T2321" s="72"/>
      <c r="U2321" s="72"/>
      <c r="V2321" s="72"/>
    </row>
    <row r="2322" spans="1:22" s="63" customFormat="1" ht="22.5" x14ac:dyDescent="0.25">
      <c r="A2322" s="87">
        <v>15.93</v>
      </c>
      <c r="B2322" s="81" t="s">
        <v>61</v>
      </c>
      <c r="C2322" s="80">
        <v>36.1</v>
      </c>
      <c r="D2322" s="131" t="s">
        <v>872</v>
      </c>
      <c r="E2322" s="83" t="s">
        <v>2090</v>
      </c>
      <c r="F2322" s="81" t="s">
        <v>334</v>
      </c>
      <c r="G2322" s="82">
        <v>32</v>
      </c>
      <c r="H2322" s="85"/>
      <c r="I2322" s="86">
        <v>9488.1</v>
      </c>
      <c r="J2322" s="185">
        <f t="shared" si="224"/>
        <v>337.6</v>
      </c>
      <c r="K2322" s="189">
        <f t="shared" si="225"/>
        <v>10803.2</v>
      </c>
      <c r="L2322" s="189"/>
      <c r="M2322" s="138"/>
      <c r="N2322" s="138"/>
      <c r="O2322" s="138"/>
      <c r="S2322" s="72"/>
      <c r="T2322" s="72"/>
      <c r="U2322" s="72"/>
      <c r="V2322" s="72"/>
    </row>
    <row r="2323" spans="1:22" s="63" customFormat="1" ht="22.5" x14ac:dyDescent="0.25">
      <c r="A2323" s="87">
        <v>15.94</v>
      </c>
      <c r="B2323" s="81" t="s">
        <v>61</v>
      </c>
      <c r="C2323" s="82">
        <v>37</v>
      </c>
      <c r="D2323" s="131" t="s">
        <v>2091</v>
      </c>
      <c r="E2323" s="83" t="s">
        <v>2092</v>
      </c>
      <c r="F2323" s="81" t="s">
        <v>354</v>
      </c>
      <c r="G2323" s="80">
        <v>1.2</v>
      </c>
      <c r="H2323" s="85"/>
      <c r="I2323" s="86">
        <v>60768.03</v>
      </c>
      <c r="J2323" s="185">
        <f t="shared" si="224"/>
        <v>57658.73</v>
      </c>
      <c r="K2323" s="189">
        <f t="shared" si="225"/>
        <v>69190.48</v>
      </c>
      <c r="L2323" s="189"/>
      <c r="M2323" s="138"/>
      <c r="N2323" s="138"/>
      <c r="O2323" s="138"/>
      <c r="S2323" s="72"/>
      <c r="T2323" s="72"/>
      <c r="U2323" s="72"/>
      <c r="V2323" s="72"/>
    </row>
    <row r="2324" spans="1:22" s="63" customFormat="1" ht="22.5" x14ac:dyDescent="0.25">
      <c r="A2324" s="87">
        <v>15.95</v>
      </c>
      <c r="B2324" s="81" t="s">
        <v>61</v>
      </c>
      <c r="C2324" s="80">
        <v>37.1</v>
      </c>
      <c r="D2324" s="131" t="s">
        <v>2093</v>
      </c>
      <c r="E2324" s="83" t="s">
        <v>2094</v>
      </c>
      <c r="F2324" s="81" t="s">
        <v>334</v>
      </c>
      <c r="G2324" s="82">
        <v>20</v>
      </c>
      <c r="H2324" s="85"/>
      <c r="I2324" s="86">
        <v>4319.2299999999996</v>
      </c>
      <c r="J2324" s="185">
        <f t="shared" si="224"/>
        <v>245.89</v>
      </c>
      <c r="K2324" s="189">
        <f t="shared" si="225"/>
        <v>4917.8</v>
      </c>
      <c r="L2324" s="189"/>
      <c r="M2324" s="138"/>
      <c r="N2324" s="138"/>
      <c r="O2324" s="138"/>
      <c r="S2324" s="72"/>
      <c r="T2324" s="72"/>
      <c r="U2324" s="72"/>
      <c r="V2324" s="72"/>
    </row>
    <row r="2325" spans="1:22" s="63" customFormat="1" ht="22.5" x14ac:dyDescent="0.25">
      <c r="A2325" s="87">
        <v>15.96</v>
      </c>
      <c r="B2325" s="81" t="s">
        <v>61</v>
      </c>
      <c r="C2325" s="80">
        <v>37.200000000000003</v>
      </c>
      <c r="D2325" s="131" t="s">
        <v>2095</v>
      </c>
      <c r="E2325" s="83" t="s">
        <v>2096</v>
      </c>
      <c r="F2325" s="81" t="s">
        <v>334</v>
      </c>
      <c r="G2325" s="82">
        <v>60</v>
      </c>
      <c r="H2325" s="85"/>
      <c r="I2325" s="86">
        <v>10426.9</v>
      </c>
      <c r="J2325" s="185">
        <f t="shared" si="224"/>
        <v>197.87</v>
      </c>
      <c r="K2325" s="189">
        <f t="shared" si="225"/>
        <v>11872.2</v>
      </c>
      <c r="L2325" s="189"/>
      <c r="M2325" s="138"/>
      <c r="N2325" s="138"/>
      <c r="O2325" s="138"/>
      <c r="S2325" s="72"/>
      <c r="T2325" s="72"/>
      <c r="U2325" s="72"/>
      <c r="V2325" s="72"/>
    </row>
    <row r="2326" spans="1:22" s="63" customFormat="1" ht="22.5" x14ac:dyDescent="0.25">
      <c r="A2326" s="87">
        <v>15.97</v>
      </c>
      <c r="B2326" s="81" t="s">
        <v>61</v>
      </c>
      <c r="C2326" s="80">
        <v>37.299999999999997</v>
      </c>
      <c r="D2326" s="131" t="s">
        <v>2097</v>
      </c>
      <c r="E2326" s="83" t="s">
        <v>2098</v>
      </c>
      <c r="F2326" s="81" t="s">
        <v>334</v>
      </c>
      <c r="G2326" s="82">
        <v>20</v>
      </c>
      <c r="H2326" s="85"/>
      <c r="I2326" s="86">
        <v>2688.86</v>
      </c>
      <c r="J2326" s="185">
        <f t="shared" si="224"/>
        <v>153.08000000000001</v>
      </c>
      <c r="K2326" s="189">
        <f t="shared" si="225"/>
        <v>3061.6</v>
      </c>
      <c r="L2326" s="189"/>
      <c r="M2326" s="138"/>
      <c r="N2326" s="138"/>
      <c r="O2326" s="138"/>
      <c r="S2326" s="72"/>
      <c r="T2326" s="72"/>
      <c r="U2326" s="72"/>
      <c r="V2326" s="72"/>
    </row>
    <row r="2327" spans="1:22" s="63" customFormat="1" ht="22.5" x14ac:dyDescent="0.25">
      <c r="A2327" s="87">
        <v>15.98</v>
      </c>
      <c r="B2327" s="81" t="s">
        <v>61</v>
      </c>
      <c r="C2327" s="80">
        <v>37.4</v>
      </c>
      <c r="D2327" s="131" t="s">
        <v>2099</v>
      </c>
      <c r="E2327" s="83" t="s">
        <v>2100</v>
      </c>
      <c r="F2327" s="81" t="s">
        <v>334</v>
      </c>
      <c r="G2327" s="82">
        <v>10</v>
      </c>
      <c r="H2327" s="85"/>
      <c r="I2327" s="86">
        <v>934.18</v>
      </c>
      <c r="J2327" s="185">
        <f t="shared" si="224"/>
        <v>106.37</v>
      </c>
      <c r="K2327" s="189">
        <f t="shared" si="225"/>
        <v>1063.7</v>
      </c>
      <c r="L2327" s="189"/>
      <c r="M2327" s="138"/>
      <c r="N2327" s="138"/>
      <c r="O2327" s="138"/>
      <c r="S2327" s="72"/>
      <c r="T2327" s="72"/>
      <c r="U2327" s="72"/>
      <c r="V2327" s="72"/>
    </row>
    <row r="2328" spans="1:22" s="63" customFormat="1" ht="22.5" x14ac:dyDescent="0.25">
      <c r="A2328" s="87">
        <v>15.99</v>
      </c>
      <c r="B2328" s="81" t="s">
        <v>61</v>
      </c>
      <c r="C2328" s="80">
        <v>37.5</v>
      </c>
      <c r="D2328" s="131" t="s">
        <v>2101</v>
      </c>
      <c r="E2328" s="83" t="s">
        <v>2102</v>
      </c>
      <c r="F2328" s="81" t="s">
        <v>334</v>
      </c>
      <c r="G2328" s="82">
        <v>10</v>
      </c>
      <c r="H2328" s="85"/>
      <c r="I2328" s="86">
        <v>728.16</v>
      </c>
      <c r="J2328" s="185">
        <f t="shared" si="224"/>
        <v>82.91</v>
      </c>
      <c r="K2328" s="189">
        <f t="shared" si="225"/>
        <v>829.1</v>
      </c>
      <c r="L2328" s="189"/>
      <c r="M2328" s="138"/>
      <c r="N2328" s="138"/>
      <c r="O2328" s="138"/>
      <c r="S2328" s="72"/>
      <c r="T2328" s="72"/>
      <c r="U2328" s="72"/>
      <c r="V2328" s="72"/>
    </row>
    <row r="2329" spans="1:22" s="63" customFormat="1" ht="15" x14ac:dyDescent="0.25">
      <c r="A2329" s="84">
        <v>15.1</v>
      </c>
      <c r="B2329" s="81" t="s">
        <v>61</v>
      </c>
      <c r="C2329" s="82">
        <v>38</v>
      </c>
      <c r="D2329" s="131" t="s">
        <v>2103</v>
      </c>
      <c r="E2329" s="83" t="s">
        <v>2104</v>
      </c>
      <c r="F2329" s="81" t="s">
        <v>207</v>
      </c>
      <c r="G2329" s="88">
        <v>0.2437</v>
      </c>
      <c r="H2329" s="85"/>
      <c r="I2329" s="86">
        <v>5380.29</v>
      </c>
      <c r="J2329" s="185">
        <f t="shared" si="224"/>
        <v>25137.46</v>
      </c>
      <c r="K2329" s="189">
        <f t="shared" si="225"/>
        <v>6126</v>
      </c>
      <c r="L2329" s="189"/>
      <c r="M2329" s="138"/>
      <c r="N2329" s="138"/>
      <c r="O2329" s="138"/>
      <c r="S2329" s="72"/>
      <c r="T2329" s="72"/>
      <c r="U2329" s="72"/>
      <c r="V2329" s="72"/>
    </row>
    <row r="2330" spans="1:22" s="63" customFormat="1" ht="22.5" x14ac:dyDescent="0.25">
      <c r="A2330" s="84">
        <v>15.101000000000001</v>
      </c>
      <c r="B2330" s="81" t="s">
        <v>61</v>
      </c>
      <c r="C2330" s="80">
        <v>38.1</v>
      </c>
      <c r="D2330" s="131" t="s">
        <v>2105</v>
      </c>
      <c r="E2330" s="83" t="s">
        <v>2106</v>
      </c>
      <c r="F2330" s="81" t="s">
        <v>226</v>
      </c>
      <c r="G2330" s="90">
        <v>-9.2610000000000001E-3</v>
      </c>
      <c r="H2330" s="85"/>
      <c r="I2330" s="86">
        <v>-4034.01</v>
      </c>
      <c r="J2330" s="185">
        <f t="shared" si="224"/>
        <v>495964.13</v>
      </c>
      <c r="K2330" s="189">
        <f t="shared" si="225"/>
        <v>-4593.12</v>
      </c>
      <c r="L2330" s="189"/>
      <c r="M2330" s="138"/>
      <c r="N2330" s="138"/>
      <c r="O2330" s="138"/>
      <c r="S2330" s="72"/>
      <c r="T2330" s="72"/>
      <c r="U2330" s="72"/>
      <c r="V2330" s="72"/>
    </row>
    <row r="2331" spans="1:22" s="63" customFormat="1" ht="15" x14ac:dyDescent="0.25">
      <c r="A2331" s="84">
        <v>15.102</v>
      </c>
      <c r="B2331" s="81" t="s">
        <v>61</v>
      </c>
      <c r="C2331" s="80">
        <v>38.200000000000003</v>
      </c>
      <c r="D2331" s="131" t="s">
        <v>2107</v>
      </c>
      <c r="E2331" s="83" t="s">
        <v>3927</v>
      </c>
      <c r="F2331" s="81" t="s">
        <v>226</v>
      </c>
      <c r="G2331" s="90">
        <v>9.2610000000000001E-3</v>
      </c>
      <c r="H2331" s="85"/>
      <c r="I2331" s="86">
        <v>1694.3</v>
      </c>
      <c r="J2331" s="185">
        <f t="shared" si="224"/>
        <v>208306.88</v>
      </c>
      <c r="K2331" s="189">
        <f t="shared" si="225"/>
        <v>1929.13</v>
      </c>
      <c r="L2331" s="189"/>
      <c r="M2331" s="138"/>
      <c r="N2331" s="138"/>
      <c r="O2331" s="138"/>
      <c r="S2331" s="72"/>
      <c r="T2331" s="72"/>
      <c r="U2331" s="72"/>
      <c r="V2331" s="72"/>
    </row>
    <row r="2332" spans="1:22" s="63" customFormat="1" ht="22.5" x14ac:dyDescent="0.25">
      <c r="A2332" s="84">
        <v>15.103</v>
      </c>
      <c r="B2332" s="81" t="s">
        <v>61</v>
      </c>
      <c r="C2332" s="82">
        <v>39</v>
      </c>
      <c r="D2332" s="131" t="s">
        <v>770</v>
      </c>
      <c r="E2332" s="83" t="s">
        <v>771</v>
      </c>
      <c r="F2332" s="81" t="s">
        <v>772</v>
      </c>
      <c r="G2332" s="87">
        <v>0.18</v>
      </c>
      <c r="H2332" s="85"/>
      <c r="I2332" s="86">
        <v>845.23</v>
      </c>
      <c r="J2332" s="185">
        <f t="shared" si="224"/>
        <v>5346.55</v>
      </c>
      <c r="K2332" s="189">
        <f t="shared" si="225"/>
        <v>962.38</v>
      </c>
      <c r="L2332" s="189"/>
      <c r="M2332" s="138"/>
      <c r="N2332" s="138"/>
      <c r="O2332" s="138"/>
      <c r="S2332" s="72"/>
      <c r="T2332" s="72"/>
      <c r="U2332" s="72"/>
      <c r="V2332" s="72"/>
    </row>
    <row r="2333" spans="1:22" s="63" customFormat="1" ht="22.5" x14ac:dyDescent="0.25">
      <c r="A2333" s="84">
        <v>15.103999999999999</v>
      </c>
      <c r="B2333" s="81" t="s">
        <v>61</v>
      </c>
      <c r="C2333" s="80">
        <v>39.1</v>
      </c>
      <c r="D2333" s="131" t="s">
        <v>2108</v>
      </c>
      <c r="E2333" s="83" t="s">
        <v>2109</v>
      </c>
      <c r="F2333" s="81" t="s">
        <v>772</v>
      </c>
      <c r="G2333" s="84">
        <v>0.19800000000000001</v>
      </c>
      <c r="H2333" s="85"/>
      <c r="I2333" s="86">
        <v>588.83000000000004</v>
      </c>
      <c r="J2333" s="185">
        <f t="shared" si="224"/>
        <v>3386.07</v>
      </c>
      <c r="K2333" s="189">
        <f t="shared" si="225"/>
        <v>670.44</v>
      </c>
      <c r="L2333" s="189"/>
      <c r="M2333" s="138"/>
      <c r="N2333" s="138"/>
      <c r="O2333" s="138"/>
      <c r="S2333" s="72"/>
      <c r="T2333" s="72"/>
      <c r="U2333" s="72"/>
      <c r="V2333" s="72"/>
    </row>
    <row r="2334" spans="1:22" s="63" customFormat="1" ht="22.5" x14ac:dyDescent="0.25">
      <c r="A2334" s="84">
        <v>15.105</v>
      </c>
      <c r="B2334" s="81" t="s">
        <v>61</v>
      </c>
      <c r="C2334" s="82">
        <v>40</v>
      </c>
      <c r="D2334" s="131" t="s">
        <v>770</v>
      </c>
      <c r="E2334" s="83" t="s">
        <v>771</v>
      </c>
      <c r="F2334" s="81" t="s">
        <v>772</v>
      </c>
      <c r="G2334" s="80">
        <v>13.2</v>
      </c>
      <c r="H2334" s="85"/>
      <c r="I2334" s="86">
        <v>61931.05</v>
      </c>
      <c r="J2334" s="185">
        <f t="shared" si="224"/>
        <v>5342.02</v>
      </c>
      <c r="K2334" s="189">
        <f t="shared" si="225"/>
        <v>70514.66</v>
      </c>
      <c r="L2334" s="189"/>
      <c r="M2334" s="138"/>
      <c r="N2334" s="138"/>
      <c r="O2334" s="138"/>
      <c r="S2334" s="72"/>
      <c r="T2334" s="72"/>
      <c r="U2334" s="72"/>
      <c r="V2334" s="72"/>
    </row>
    <row r="2335" spans="1:22" s="63" customFormat="1" ht="22.5" x14ac:dyDescent="0.25">
      <c r="A2335" s="84">
        <v>15.106</v>
      </c>
      <c r="B2335" s="81" t="s">
        <v>61</v>
      </c>
      <c r="C2335" s="80">
        <v>40.1</v>
      </c>
      <c r="D2335" s="131" t="s">
        <v>2110</v>
      </c>
      <c r="E2335" s="83" t="s">
        <v>2111</v>
      </c>
      <c r="F2335" s="81" t="s">
        <v>772</v>
      </c>
      <c r="G2335" s="87">
        <v>14.52</v>
      </c>
      <c r="H2335" s="85"/>
      <c r="I2335" s="86">
        <v>45708.38</v>
      </c>
      <c r="J2335" s="185">
        <f t="shared" si="224"/>
        <v>3584.27</v>
      </c>
      <c r="K2335" s="189">
        <f t="shared" si="225"/>
        <v>52043.6</v>
      </c>
      <c r="L2335" s="189"/>
      <c r="M2335" s="138"/>
      <c r="N2335" s="138"/>
      <c r="O2335" s="138"/>
      <c r="S2335" s="72"/>
      <c r="T2335" s="72"/>
      <c r="U2335" s="72"/>
      <c r="V2335" s="72"/>
    </row>
    <row r="2336" spans="1:22" s="63" customFormat="1" ht="22.5" x14ac:dyDescent="0.25">
      <c r="A2336" s="84">
        <v>15.106999999999999</v>
      </c>
      <c r="B2336" s="81" t="s">
        <v>61</v>
      </c>
      <c r="C2336" s="80">
        <v>40.200000000000003</v>
      </c>
      <c r="D2336" s="131" t="s">
        <v>2112</v>
      </c>
      <c r="E2336" s="83" t="s">
        <v>2113</v>
      </c>
      <c r="F2336" s="81" t="s">
        <v>210</v>
      </c>
      <c r="G2336" s="82">
        <v>156</v>
      </c>
      <c r="H2336" s="85"/>
      <c r="I2336" s="86">
        <v>16304.75</v>
      </c>
      <c r="J2336" s="185">
        <f t="shared" si="224"/>
        <v>119</v>
      </c>
      <c r="K2336" s="189">
        <f t="shared" si="225"/>
        <v>18564</v>
      </c>
      <c r="L2336" s="189"/>
      <c r="M2336" s="138"/>
      <c r="N2336" s="138"/>
      <c r="O2336" s="138"/>
      <c r="S2336" s="72"/>
      <c r="T2336" s="72"/>
      <c r="U2336" s="72"/>
      <c r="V2336" s="72"/>
    </row>
    <row r="2337" spans="1:22" s="63" customFormat="1" ht="15" x14ac:dyDescent="0.25">
      <c r="A2337" s="84">
        <v>15.108000000000001</v>
      </c>
      <c r="B2337" s="81" t="s">
        <v>61</v>
      </c>
      <c r="C2337" s="82">
        <v>41</v>
      </c>
      <c r="D2337" s="131" t="s">
        <v>1364</v>
      </c>
      <c r="E2337" s="83" t="s">
        <v>1365</v>
      </c>
      <c r="F2337" s="81" t="s">
        <v>354</v>
      </c>
      <c r="G2337" s="80">
        <v>0.5</v>
      </c>
      <c r="H2337" s="85"/>
      <c r="I2337" s="86">
        <v>8423.7800000000007</v>
      </c>
      <c r="J2337" s="185">
        <f t="shared" si="224"/>
        <v>19182.63</v>
      </c>
      <c r="K2337" s="189">
        <f t="shared" si="225"/>
        <v>9591.32</v>
      </c>
      <c r="L2337" s="189"/>
      <c r="M2337" s="138"/>
      <c r="N2337" s="138"/>
      <c r="O2337" s="138"/>
      <c r="S2337" s="72"/>
      <c r="T2337" s="72"/>
      <c r="U2337" s="72"/>
      <c r="V2337" s="72"/>
    </row>
    <row r="2338" spans="1:22" s="63" customFormat="1" ht="22.5" x14ac:dyDescent="0.25">
      <c r="A2338" s="84">
        <v>15.109</v>
      </c>
      <c r="B2338" s="81" t="s">
        <v>61</v>
      </c>
      <c r="C2338" s="80">
        <v>41.1</v>
      </c>
      <c r="D2338" s="131" t="s">
        <v>2114</v>
      </c>
      <c r="E2338" s="83" t="s">
        <v>2115</v>
      </c>
      <c r="F2338" s="81" t="s">
        <v>772</v>
      </c>
      <c r="G2338" s="82">
        <v>5</v>
      </c>
      <c r="H2338" s="85"/>
      <c r="I2338" s="86">
        <v>665.56</v>
      </c>
      <c r="J2338" s="185">
        <f t="shared" si="224"/>
        <v>151.56</v>
      </c>
      <c r="K2338" s="189">
        <f t="shared" si="225"/>
        <v>757.8</v>
      </c>
      <c r="L2338" s="189"/>
      <c r="M2338" s="138"/>
      <c r="N2338" s="138"/>
      <c r="O2338" s="138"/>
      <c r="S2338" s="72"/>
      <c r="T2338" s="72"/>
      <c r="U2338" s="72"/>
      <c r="V2338" s="72"/>
    </row>
    <row r="2339" spans="1:22" s="63" customFormat="1" ht="22.5" x14ac:dyDescent="0.25">
      <c r="A2339" s="84">
        <v>15.11</v>
      </c>
      <c r="B2339" s="81" t="s">
        <v>61</v>
      </c>
      <c r="C2339" s="82">
        <v>42</v>
      </c>
      <c r="D2339" s="131" t="s">
        <v>2116</v>
      </c>
      <c r="E2339" s="83" t="s">
        <v>2117</v>
      </c>
      <c r="F2339" s="81" t="s">
        <v>354</v>
      </c>
      <c r="G2339" s="80">
        <v>0.5</v>
      </c>
      <c r="H2339" s="85"/>
      <c r="I2339" s="86">
        <v>5625.93</v>
      </c>
      <c r="J2339" s="185">
        <f t="shared" si="224"/>
        <v>12811.37</v>
      </c>
      <c r="K2339" s="189">
        <f t="shared" si="225"/>
        <v>6405.69</v>
      </c>
      <c r="L2339" s="189"/>
      <c r="M2339" s="138"/>
      <c r="N2339" s="138"/>
      <c r="O2339" s="138"/>
      <c r="S2339" s="72"/>
      <c r="T2339" s="72"/>
      <c r="U2339" s="72"/>
      <c r="V2339" s="72"/>
    </row>
    <row r="2340" spans="1:22" s="63" customFormat="1" ht="33.75" x14ac:dyDescent="0.25">
      <c r="A2340" s="84">
        <v>15.111000000000001</v>
      </c>
      <c r="B2340" s="81" t="s">
        <v>61</v>
      </c>
      <c r="C2340" s="80">
        <v>42.1</v>
      </c>
      <c r="D2340" s="131" t="s">
        <v>2118</v>
      </c>
      <c r="E2340" s="83" t="s">
        <v>2119</v>
      </c>
      <c r="F2340" s="81" t="s">
        <v>2120</v>
      </c>
      <c r="G2340" s="88">
        <v>2.5499999999999998E-2</v>
      </c>
      <c r="H2340" s="85"/>
      <c r="I2340" s="86">
        <v>1094.19</v>
      </c>
      <c r="J2340" s="185">
        <f t="shared" si="224"/>
        <v>48856.66</v>
      </c>
      <c r="K2340" s="189">
        <f t="shared" si="225"/>
        <v>1245.8399999999999</v>
      </c>
      <c r="L2340" s="189"/>
      <c r="M2340" s="138"/>
      <c r="N2340" s="138"/>
      <c r="O2340" s="138"/>
      <c r="S2340" s="72"/>
      <c r="T2340" s="72"/>
      <c r="U2340" s="72"/>
      <c r="V2340" s="72"/>
    </row>
    <row r="2341" spans="1:22" s="63" customFormat="1" ht="22.5" x14ac:dyDescent="0.25">
      <c r="A2341" s="84">
        <v>15.112</v>
      </c>
      <c r="B2341" s="81" t="s">
        <v>61</v>
      </c>
      <c r="C2341" s="80">
        <v>42.2</v>
      </c>
      <c r="D2341" s="131" t="s">
        <v>2121</v>
      </c>
      <c r="E2341" s="83" t="s">
        <v>3928</v>
      </c>
      <c r="F2341" s="81" t="s">
        <v>334</v>
      </c>
      <c r="G2341" s="80">
        <v>25.5</v>
      </c>
      <c r="H2341" s="85"/>
      <c r="I2341" s="86">
        <v>433.61</v>
      </c>
      <c r="J2341" s="185">
        <f t="shared" si="224"/>
        <v>19.36</v>
      </c>
      <c r="K2341" s="189">
        <f t="shared" si="225"/>
        <v>493.68</v>
      </c>
      <c r="L2341" s="189"/>
      <c r="M2341" s="138"/>
      <c r="N2341" s="138"/>
      <c r="O2341" s="138"/>
      <c r="S2341" s="72"/>
      <c r="T2341" s="72"/>
      <c r="U2341" s="72"/>
      <c r="V2341" s="72"/>
    </row>
    <row r="2342" spans="1:22" s="63" customFormat="1" ht="15" x14ac:dyDescent="0.25">
      <c r="A2342" s="194">
        <v>16</v>
      </c>
      <c r="B2342" s="418" t="s">
        <v>2122</v>
      </c>
      <c r="C2342" s="418"/>
      <c r="D2342" s="418"/>
      <c r="E2342" s="195" t="s">
        <v>64</v>
      </c>
      <c r="F2342" s="196"/>
      <c r="G2342" s="194">
        <v>1</v>
      </c>
      <c r="H2342" s="197">
        <v>253345.85</v>
      </c>
      <c r="I2342" s="355">
        <f>SUM(I2345:I2361)</f>
        <v>253345.86</v>
      </c>
      <c r="J2342" s="200"/>
      <c r="K2342" s="198">
        <f>SUM(K2345:K2361)</f>
        <v>286468.68</v>
      </c>
      <c r="L2342" s="198"/>
      <c r="M2342" s="207"/>
      <c r="N2342" s="209"/>
      <c r="O2342" s="138"/>
      <c r="S2342" s="72"/>
      <c r="T2342" s="72"/>
      <c r="U2342" s="72"/>
      <c r="V2342" s="72"/>
    </row>
    <row r="2343" spans="1:22" s="63" customFormat="1" ht="15" x14ac:dyDescent="0.25">
      <c r="A2343" s="91"/>
      <c r="B2343" s="92"/>
      <c r="C2343" s="92"/>
      <c r="D2343" s="166"/>
      <c r="E2343" s="93" t="s">
        <v>651</v>
      </c>
      <c r="F2343" s="94"/>
      <c r="G2343" s="91"/>
      <c r="H2343" s="95"/>
      <c r="I2343" s="96">
        <f>I2349+I2351</f>
        <v>99004.61</v>
      </c>
      <c r="J2343" s="191"/>
      <c r="K2343" s="96">
        <f>K2349+K2351</f>
        <v>110736.62</v>
      </c>
      <c r="L2343" s="96"/>
      <c r="M2343" s="207"/>
      <c r="N2343" s="209"/>
      <c r="O2343" s="138"/>
      <c r="S2343" s="72"/>
      <c r="T2343" s="72"/>
      <c r="U2343" s="72"/>
      <c r="V2343" s="72"/>
    </row>
    <row r="2344" spans="1:22" s="278" customFormat="1" ht="15" x14ac:dyDescent="0.25">
      <c r="A2344" s="216"/>
      <c r="B2344" s="217"/>
      <c r="C2344" s="217"/>
      <c r="D2344" s="248"/>
      <c r="E2344" s="218" t="s">
        <v>3343</v>
      </c>
      <c r="F2344" s="219"/>
      <c r="G2344" s="216"/>
      <c r="H2344" s="220"/>
      <c r="I2344" s="221"/>
      <c r="J2344" s="244"/>
      <c r="K2344" s="221"/>
      <c r="L2344" s="221"/>
      <c r="M2344" s="222"/>
      <c r="N2344" s="223"/>
      <c r="O2344" s="245"/>
      <c r="S2344" s="225"/>
      <c r="T2344" s="225"/>
      <c r="U2344" s="225"/>
      <c r="V2344" s="225"/>
    </row>
    <row r="2345" spans="1:22" s="63" customFormat="1" ht="33.75" x14ac:dyDescent="0.25">
      <c r="A2345" s="80">
        <v>16.100000000000001</v>
      </c>
      <c r="B2345" s="81" t="s">
        <v>63</v>
      </c>
      <c r="C2345" s="82">
        <v>1</v>
      </c>
      <c r="D2345" s="131" t="s">
        <v>2123</v>
      </c>
      <c r="E2345" s="83" t="s">
        <v>2124</v>
      </c>
      <c r="F2345" s="81" t="s">
        <v>354</v>
      </c>
      <c r="G2345" s="80">
        <v>2.2999999999999998</v>
      </c>
      <c r="H2345" s="85"/>
      <c r="I2345" s="86">
        <f>10391.6+0.01</f>
        <v>10391.61</v>
      </c>
      <c r="J2345" s="185">
        <f>ROUND($I2345/$G2345*$N$11,2)</f>
        <v>5144.3</v>
      </c>
      <c r="K2345" s="189">
        <f t="shared" ref="K2345:K2361" si="226">ROUND(G2345*J2345,2)</f>
        <v>11831.89</v>
      </c>
      <c r="L2345" s="189"/>
      <c r="M2345" s="138"/>
      <c r="N2345" s="138"/>
      <c r="O2345" s="138"/>
      <c r="S2345" s="72"/>
      <c r="T2345" s="72"/>
      <c r="U2345" s="72"/>
      <c r="V2345" s="72"/>
    </row>
    <row r="2346" spans="1:22" s="63" customFormat="1" ht="22.5" x14ac:dyDescent="0.25">
      <c r="A2346" s="80">
        <v>16.2</v>
      </c>
      <c r="B2346" s="81" t="s">
        <v>63</v>
      </c>
      <c r="C2346" s="80">
        <v>1.1000000000000001</v>
      </c>
      <c r="D2346" s="131" t="s">
        <v>2125</v>
      </c>
      <c r="E2346" s="83" t="s">
        <v>3929</v>
      </c>
      <c r="F2346" s="81" t="s">
        <v>334</v>
      </c>
      <c r="G2346" s="80">
        <v>188.7</v>
      </c>
      <c r="H2346" s="85"/>
      <c r="I2346" s="86">
        <v>11240.48</v>
      </c>
      <c r="J2346" s="185">
        <f>ROUND($I2346/$G2346*$N$11,2)</f>
        <v>67.819999999999993</v>
      </c>
      <c r="K2346" s="189">
        <f t="shared" si="226"/>
        <v>12797.63</v>
      </c>
      <c r="L2346" s="189"/>
      <c r="M2346" s="138"/>
      <c r="N2346" s="138"/>
      <c r="O2346" s="138"/>
      <c r="S2346" s="72"/>
      <c r="T2346" s="72"/>
      <c r="U2346" s="72"/>
      <c r="V2346" s="72"/>
    </row>
    <row r="2347" spans="1:22" s="63" customFormat="1" ht="15" x14ac:dyDescent="0.25">
      <c r="A2347" s="80">
        <v>16.3</v>
      </c>
      <c r="B2347" s="81" t="s">
        <v>63</v>
      </c>
      <c r="C2347" s="80">
        <v>1.2</v>
      </c>
      <c r="D2347" s="131" t="s">
        <v>2126</v>
      </c>
      <c r="E2347" s="83" t="s">
        <v>3930</v>
      </c>
      <c r="F2347" s="81" t="s">
        <v>334</v>
      </c>
      <c r="G2347" s="80">
        <v>45.9</v>
      </c>
      <c r="H2347" s="85"/>
      <c r="I2347" s="86">
        <v>6200.55</v>
      </c>
      <c r="J2347" s="185">
        <f>ROUND($I2347/$G2347*$N$11,2)</f>
        <v>153.81</v>
      </c>
      <c r="K2347" s="189">
        <f t="shared" si="226"/>
        <v>7059.88</v>
      </c>
      <c r="L2347" s="189"/>
      <c r="M2347" s="138"/>
      <c r="N2347" s="138"/>
      <c r="O2347" s="138"/>
      <c r="S2347" s="72"/>
      <c r="T2347" s="72"/>
      <c r="U2347" s="72"/>
      <c r="V2347" s="72"/>
    </row>
    <row r="2348" spans="1:22" s="63" customFormat="1" ht="22.5" x14ac:dyDescent="0.25">
      <c r="A2348" s="80">
        <v>16.399999999999999</v>
      </c>
      <c r="B2348" s="81" t="s">
        <v>63</v>
      </c>
      <c r="C2348" s="82">
        <v>2</v>
      </c>
      <c r="D2348" s="131" t="s">
        <v>783</v>
      </c>
      <c r="E2348" s="83" t="s">
        <v>784</v>
      </c>
      <c r="F2348" s="81" t="s">
        <v>219</v>
      </c>
      <c r="G2348" s="82">
        <v>1</v>
      </c>
      <c r="H2348" s="85"/>
      <c r="I2348" s="86">
        <v>3276.2</v>
      </c>
      <c r="J2348" s="185">
        <f>ROUND($I2348/$G2348*$N$11,2)</f>
        <v>3730.28</v>
      </c>
      <c r="K2348" s="189">
        <f t="shared" si="226"/>
        <v>3730.28</v>
      </c>
      <c r="L2348" s="189"/>
      <c r="M2348" s="138"/>
      <c r="N2348" s="138"/>
      <c r="O2348" s="138"/>
      <c r="S2348" s="72"/>
      <c r="T2348" s="72"/>
      <c r="U2348" s="72"/>
      <c r="V2348" s="72"/>
    </row>
    <row r="2349" spans="1:22" s="63" customFormat="1" ht="15" x14ac:dyDescent="0.25">
      <c r="A2349" s="103">
        <v>16.5</v>
      </c>
      <c r="B2349" s="102" t="s">
        <v>63</v>
      </c>
      <c r="C2349" s="103">
        <v>2.1</v>
      </c>
      <c r="D2349" s="167" t="s">
        <v>2127</v>
      </c>
      <c r="E2349" s="104" t="s">
        <v>3931</v>
      </c>
      <c r="F2349" s="102" t="s">
        <v>219</v>
      </c>
      <c r="G2349" s="105">
        <v>1</v>
      </c>
      <c r="H2349" s="106"/>
      <c r="I2349" s="107">
        <v>31305.83</v>
      </c>
      <c r="J2349" s="192">
        <f>ROUND($I2349/$G2349*$N$12,2)</f>
        <v>35015.57</v>
      </c>
      <c r="K2349" s="193">
        <f t="shared" si="226"/>
        <v>35015.57</v>
      </c>
      <c r="L2349" s="193"/>
      <c r="M2349" s="138"/>
      <c r="N2349" s="138"/>
      <c r="O2349" s="138"/>
      <c r="S2349" s="72"/>
      <c r="T2349" s="72"/>
      <c r="U2349" s="72"/>
      <c r="V2349" s="72"/>
    </row>
    <row r="2350" spans="1:22" s="63" customFormat="1" ht="15" x14ac:dyDescent="0.25">
      <c r="A2350" s="80">
        <v>16.600000000000001</v>
      </c>
      <c r="B2350" s="81" t="s">
        <v>63</v>
      </c>
      <c r="C2350" s="82">
        <v>3</v>
      </c>
      <c r="D2350" s="131" t="s">
        <v>2128</v>
      </c>
      <c r="E2350" s="83" t="s">
        <v>2129</v>
      </c>
      <c r="F2350" s="81" t="s">
        <v>219</v>
      </c>
      <c r="G2350" s="82">
        <v>15</v>
      </c>
      <c r="H2350" s="85"/>
      <c r="I2350" s="86">
        <v>17263.2</v>
      </c>
      <c r="J2350" s="185">
        <f>ROUND($I2350/$G2350*$N$11,2)</f>
        <v>1310.3900000000001</v>
      </c>
      <c r="K2350" s="189">
        <f t="shared" si="226"/>
        <v>19655.849999999999</v>
      </c>
      <c r="L2350" s="189"/>
      <c r="M2350" s="138"/>
      <c r="N2350" s="138"/>
      <c r="O2350" s="138"/>
      <c r="S2350" s="72"/>
      <c r="T2350" s="72"/>
      <c r="U2350" s="72"/>
      <c r="V2350" s="72"/>
    </row>
    <row r="2351" spans="1:22" s="63" customFormat="1" ht="15" x14ac:dyDescent="0.25">
      <c r="A2351" s="103">
        <v>16.7</v>
      </c>
      <c r="B2351" s="102" t="s">
        <v>63</v>
      </c>
      <c r="C2351" s="103">
        <v>3.1</v>
      </c>
      <c r="D2351" s="167" t="s">
        <v>2130</v>
      </c>
      <c r="E2351" s="104" t="s">
        <v>3932</v>
      </c>
      <c r="F2351" s="102" t="s">
        <v>219</v>
      </c>
      <c r="G2351" s="105">
        <v>15</v>
      </c>
      <c r="H2351" s="106"/>
      <c r="I2351" s="107">
        <v>67698.78</v>
      </c>
      <c r="J2351" s="192">
        <f>ROUND($I2351/$G2351*$N$12,2)</f>
        <v>5048.07</v>
      </c>
      <c r="K2351" s="193">
        <f t="shared" si="226"/>
        <v>75721.05</v>
      </c>
      <c r="L2351" s="193"/>
      <c r="M2351" s="138"/>
      <c r="N2351" s="138"/>
      <c r="O2351" s="138"/>
      <c r="S2351" s="72"/>
      <c r="T2351" s="72"/>
      <c r="U2351" s="72"/>
      <c r="V2351" s="72"/>
    </row>
    <row r="2352" spans="1:22" s="63" customFormat="1" ht="15" x14ac:dyDescent="0.25">
      <c r="A2352" s="80">
        <v>16.8</v>
      </c>
      <c r="B2352" s="81" t="s">
        <v>63</v>
      </c>
      <c r="C2352" s="82">
        <v>4</v>
      </c>
      <c r="D2352" s="131" t="s">
        <v>2131</v>
      </c>
      <c r="E2352" s="83" t="s">
        <v>2132</v>
      </c>
      <c r="F2352" s="81" t="s">
        <v>354</v>
      </c>
      <c r="G2352" s="87">
        <v>0.75</v>
      </c>
      <c r="H2352" s="85"/>
      <c r="I2352" s="86">
        <v>8003.68</v>
      </c>
      <c r="J2352" s="185">
        <f t="shared" ref="J2352:J2361" si="227">ROUND($I2352/$G2352*$N$11,2)</f>
        <v>12150.65</v>
      </c>
      <c r="K2352" s="189">
        <f t="shared" si="226"/>
        <v>9112.99</v>
      </c>
      <c r="L2352" s="189"/>
      <c r="M2352" s="138"/>
      <c r="N2352" s="138"/>
      <c r="O2352" s="138"/>
      <c r="S2352" s="72"/>
      <c r="T2352" s="72"/>
      <c r="U2352" s="72"/>
      <c r="V2352" s="72"/>
    </row>
    <row r="2353" spans="1:22" s="63" customFormat="1" ht="15" x14ac:dyDescent="0.25">
      <c r="A2353" s="80">
        <v>16.899999999999999</v>
      </c>
      <c r="B2353" s="81" t="s">
        <v>63</v>
      </c>
      <c r="C2353" s="80">
        <v>4.0999999999999996</v>
      </c>
      <c r="D2353" s="131" t="s">
        <v>2133</v>
      </c>
      <c r="E2353" s="83" t="s">
        <v>3933</v>
      </c>
      <c r="F2353" s="81" t="s">
        <v>334</v>
      </c>
      <c r="G2353" s="82">
        <v>75</v>
      </c>
      <c r="H2353" s="85"/>
      <c r="I2353" s="86">
        <v>35899.89</v>
      </c>
      <c r="J2353" s="185">
        <f t="shared" si="227"/>
        <v>545.01</v>
      </c>
      <c r="K2353" s="189">
        <f t="shared" si="226"/>
        <v>40875.75</v>
      </c>
      <c r="L2353" s="189"/>
      <c r="M2353" s="138"/>
      <c r="N2353" s="138"/>
      <c r="O2353" s="138"/>
      <c r="S2353" s="72"/>
      <c r="T2353" s="72"/>
      <c r="U2353" s="72"/>
      <c r="V2353" s="72"/>
    </row>
    <row r="2354" spans="1:22" s="63" customFormat="1" ht="15" x14ac:dyDescent="0.25">
      <c r="A2354" s="87">
        <v>16.100000000000001</v>
      </c>
      <c r="B2354" s="81" t="s">
        <v>63</v>
      </c>
      <c r="C2354" s="82">
        <v>5</v>
      </c>
      <c r="D2354" s="131" t="s">
        <v>2134</v>
      </c>
      <c r="E2354" s="83" t="s">
        <v>2135</v>
      </c>
      <c r="F2354" s="81" t="s">
        <v>219</v>
      </c>
      <c r="G2354" s="82">
        <v>9</v>
      </c>
      <c r="H2354" s="85"/>
      <c r="I2354" s="86">
        <v>4347.13</v>
      </c>
      <c r="J2354" s="185">
        <f t="shared" si="227"/>
        <v>549.96</v>
      </c>
      <c r="K2354" s="189">
        <f t="shared" si="226"/>
        <v>4949.6400000000003</v>
      </c>
      <c r="L2354" s="189"/>
      <c r="M2354" s="138"/>
      <c r="N2354" s="138"/>
      <c r="O2354" s="138"/>
      <c r="S2354" s="72"/>
      <c r="T2354" s="72"/>
      <c r="U2354" s="72"/>
      <c r="V2354" s="72"/>
    </row>
    <row r="2355" spans="1:22" s="63" customFormat="1" ht="22.5" x14ac:dyDescent="0.25">
      <c r="A2355" s="87">
        <v>16.11</v>
      </c>
      <c r="B2355" s="81" t="s">
        <v>63</v>
      </c>
      <c r="C2355" s="80">
        <v>5.0999999999999996</v>
      </c>
      <c r="D2355" s="131" t="s">
        <v>2136</v>
      </c>
      <c r="E2355" s="83" t="s">
        <v>3934</v>
      </c>
      <c r="F2355" s="81" t="s">
        <v>219</v>
      </c>
      <c r="G2355" s="82">
        <v>9</v>
      </c>
      <c r="H2355" s="85"/>
      <c r="I2355" s="86">
        <v>541.77</v>
      </c>
      <c r="J2355" s="185">
        <f t="shared" si="227"/>
        <v>68.540000000000006</v>
      </c>
      <c r="K2355" s="189">
        <f t="shared" si="226"/>
        <v>616.86</v>
      </c>
      <c r="L2355" s="189"/>
      <c r="M2355" s="138"/>
      <c r="N2355" s="138"/>
      <c r="O2355" s="138"/>
      <c r="S2355" s="72"/>
      <c r="T2355" s="72"/>
      <c r="U2355" s="72"/>
      <c r="V2355" s="72"/>
    </row>
    <row r="2356" spans="1:22" s="63" customFormat="1" ht="15" x14ac:dyDescent="0.25">
      <c r="A2356" s="87">
        <v>16.12</v>
      </c>
      <c r="B2356" s="81" t="s">
        <v>63</v>
      </c>
      <c r="C2356" s="82">
        <v>6</v>
      </c>
      <c r="D2356" s="131" t="s">
        <v>2137</v>
      </c>
      <c r="E2356" s="83" t="s">
        <v>2138</v>
      </c>
      <c r="F2356" s="81" t="s">
        <v>216</v>
      </c>
      <c r="G2356" s="87">
        <v>0.15</v>
      </c>
      <c r="H2356" s="85"/>
      <c r="I2356" s="86">
        <v>7589.53</v>
      </c>
      <c r="J2356" s="185">
        <f t="shared" si="227"/>
        <v>57609.59</v>
      </c>
      <c r="K2356" s="189">
        <f t="shared" si="226"/>
        <v>8641.44</v>
      </c>
      <c r="L2356" s="189"/>
      <c r="M2356" s="138"/>
      <c r="N2356" s="138"/>
      <c r="O2356" s="138"/>
      <c r="S2356" s="72"/>
      <c r="T2356" s="72"/>
      <c r="U2356" s="72"/>
      <c r="V2356" s="72"/>
    </row>
    <row r="2357" spans="1:22" s="63" customFormat="1" ht="15" x14ac:dyDescent="0.25">
      <c r="A2357" s="87">
        <v>16.13</v>
      </c>
      <c r="B2357" s="81" t="s">
        <v>63</v>
      </c>
      <c r="C2357" s="80">
        <v>6.1</v>
      </c>
      <c r="D2357" s="131" t="s">
        <v>2139</v>
      </c>
      <c r="E2357" s="83" t="s">
        <v>3935</v>
      </c>
      <c r="F2357" s="81" t="s">
        <v>219</v>
      </c>
      <c r="G2357" s="82">
        <v>15</v>
      </c>
      <c r="H2357" s="85"/>
      <c r="I2357" s="86">
        <v>2546.34</v>
      </c>
      <c r="J2357" s="185">
        <f t="shared" si="227"/>
        <v>193.28</v>
      </c>
      <c r="K2357" s="189">
        <f t="shared" si="226"/>
        <v>2899.2</v>
      </c>
      <c r="L2357" s="189"/>
      <c r="M2357" s="138"/>
      <c r="N2357" s="138"/>
      <c r="O2357" s="138"/>
      <c r="S2357" s="72"/>
      <c r="T2357" s="72"/>
      <c r="U2357" s="72"/>
      <c r="V2357" s="72"/>
    </row>
    <row r="2358" spans="1:22" s="63" customFormat="1" ht="15" x14ac:dyDescent="0.25">
      <c r="A2358" s="87">
        <v>16.14</v>
      </c>
      <c r="B2358" s="81" t="s">
        <v>63</v>
      </c>
      <c r="C2358" s="82">
        <v>7</v>
      </c>
      <c r="D2358" s="131" t="s">
        <v>1364</v>
      </c>
      <c r="E2358" s="83" t="s">
        <v>1365</v>
      </c>
      <c r="F2358" s="81" t="s">
        <v>354</v>
      </c>
      <c r="G2358" s="80">
        <v>2.2999999999999998</v>
      </c>
      <c r="H2358" s="85"/>
      <c r="I2358" s="86">
        <v>38749.17</v>
      </c>
      <c r="J2358" s="185">
        <f t="shared" si="227"/>
        <v>19182.52</v>
      </c>
      <c r="K2358" s="189">
        <f t="shared" si="226"/>
        <v>44119.8</v>
      </c>
      <c r="L2358" s="189"/>
      <c r="M2358" s="138"/>
      <c r="N2358" s="138"/>
      <c r="O2358" s="138"/>
      <c r="S2358" s="72"/>
      <c r="T2358" s="72"/>
      <c r="U2358" s="72"/>
      <c r="V2358" s="72"/>
    </row>
    <row r="2359" spans="1:22" s="63" customFormat="1" ht="22.5" x14ac:dyDescent="0.25">
      <c r="A2359" s="87">
        <v>16.149999999999999</v>
      </c>
      <c r="B2359" s="81" t="s">
        <v>63</v>
      </c>
      <c r="C2359" s="80">
        <v>7.1</v>
      </c>
      <c r="D2359" s="131" t="s">
        <v>2140</v>
      </c>
      <c r="E2359" s="83" t="s">
        <v>2141</v>
      </c>
      <c r="F2359" s="81" t="s">
        <v>772</v>
      </c>
      <c r="G2359" s="82">
        <v>23</v>
      </c>
      <c r="H2359" s="85"/>
      <c r="I2359" s="86">
        <v>4432.01</v>
      </c>
      <c r="J2359" s="185">
        <f t="shared" si="227"/>
        <v>219.4</v>
      </c>
      <c r="K2359" s="189">
        <f t="shared" si="226"/>
        <v>5046.2</v>
      </c>
      <c r="L2359" s="189"/>
      <c r="M2359" s="138"/>
      <c r="N2359" s="138"/>
      <c r="O2359" s="138"/>
      <c r="S2359" s="72"/>
      <c r="T2359" s="72"/>
      <c r="U2359" s="72"/>
      <c r="V2359" s="72"/>
    </row>
    <row r="2360" spans="1:22" s="63" customFormat="1" ht="22.5" x14ac:dyDescent="0.25">
      <c r="A2360" s="87">
        <v>16.16</v>
      </c>
      <c r="B2360" s="81" t="s">
        <v>63</v>
      </c>
      <c r="C2360" s="80">
        <v>7.2</v>
      </c>
      <c r="D2360" s="131" t="s">
        <v>2142</v>
      </c>
      <c r="E2360" s="83" t="s">
        <v>2143</v>
      </c>
      <c r="F2360" s="81" t="s">
        <v>216</v>
      </c>
      <c r="G2360" s="80">
        <v>1.2</v>
      </c>
      <c r="H2360" s="85"/>
      <c r="I2360" s="86">
        <v>404.93</v>
      </c>
      <c r="J2360" s="185">
        <f t="shared" si="227"/>
        <v>384.21</v>
      </c>
      <c r="K2360" s="189">
        <f t="shared" si="226"/>
        <v>461.05</v>
      </c>
      <c r="L2360" s="189"/>
      <c r="M2360" s="138"/>
      <c r="N2360" s="138"/>
      <c r="O2360" s="138"/>
      <c r="S2360" s="72"/>
      <c r="T2360" s="72"/>
      <c r="U2360" s="72"/>
      <c r="V2360" s="72"/>
    </row>
    <row r="2361" spans="1:22" s="63" customFormat="1" ht="22.5" x14ac:dyDescent="0.25">
      <c r="A2361" s="87">
        <v>16.170000000000002</v>
      </c>
      <c r="B2361" s="81" t="s">
        <v>63</v>
      </c>
      <c r="C2361" s="80">
        <v>7.3</v>
      </c>
      <c r="D2361" s="131" t="s">
        <v>2144</v>
      </c>
      <c r="E2361" s="83" t="s">
        <v>2145</v>
      </c>
      <c r="F2361" s="81" t="s">
        <v>213</v>
      </c>
      <c r="G2361" s="82">
        <v>5</v>
      </c>
      <c r="H2361" s="85"/>
      <c r="I2361" s="86">
        <v>3454.76</v>
      </c>
      <c r="J2361" s="185">
        <f t="shared" si="227"/>
        <v>786.72</v>
      </c>
      <c r="K2361" s="189">
        <f t="shared" si="226"/>
        <v>3933.6</v>
      </c>
      <c r="L2361" s="189"/>
      <c r="M2361" s="138"/>
      <c r="N2361" s="138"/>
      <c r="O2361" s="138"/>
      <c r="S2361" s="72"/>
      <c r="T2361" s="72"/>
      <c r="U2361" s="72"/>
      <c r="V2361" s="72"/>
    </row>
    <row r="2362" spans="1:22" s="63" customFormat="1" ht="15" x14ac:dyDescent="0.25">
      <c r="A2362" s="194">
        <v>17</v>
      </c>
      <c r="B2362" s="418" t="s">
        <v>2146</v>
      </c>
      <c r="C2362" s="418"/>
      <c r="D2362" s="418"/>
      <c r="E2362" s="195" t="s">
        <v>66</v>
      </c>
      <c r="F2362" s="196"/>
      <c r="G2362" s="194">
        <v>1</v>
      </c>
      <c r="H2362" s="197">
        <v>2000231.15</v>
      </c>
      <c r="I2362" s="355">
        <f>SUM(I2365:I2435)</f>
        <v>2000231.13</v>
      </c>
      <c r="J2362" s="200"/>
      <c r="K2362" s="198">
        <f>SUM(K2365:K2435)</f>
        <v>2266182.33</v>
      </c>
      <c r="L2362" s="198"/>
      <c r="M2362" s="207"/>
      <c r="N2362" s="209"/>
      <c r="O2362" s="138"/>
      <c r="S2362" s="72"/>
      <c r="T2362" s="72"/>
      <c r="U2362" s="72"/>
      <c r="V2362" s="72"/>
    </row>
    <row r="2363" spans="1:22" s="63" customFormat="1" ht="15" x14ac:dyDescent="0.25">
      <c r="A2363" s="91"/>
      <c r="B2363" s="92"/>
      <c r="C2363" s="92"/>
      <c r="D2363" s="166"/>
      <c r="E2363" s="93" t="s">
        <v>651</v>
      </c>
      <c r="F2363" s="94"/>
      <c r="G2363" s="91"/>
      <c r="H2363" s="95"/>
      <c r="I2363" s="96">
        <f>I2366+I2368+I2370+I2372+I2374+I2376+I2378+I2380+I2381+I2383+I2385+I2387+I2389+I2391+I2393+I2395+I2399+I2400+I2401+I2414+I2416+I2418+I2419+I2433+I2434+I2435</f>
        <v>561427.80000000016</v>
      </c>
      <c r="J2363" s="191"/>
      <c r="K2363" s="96">
        <f>K2366+K2368+K2370+K2372+K2374+K2376+K2378+K2380+K2381+K2383+K2385+K2387+K2389+K2391+K2393+K2395+K2399+K2400+K2401+K2414+K2416+K2418+K2419+K2433+K2434+K2435</f>
        <v>627957.6399999999</v>
      </c>
      <c r="L2363" s="96"/>
      <c r="M2363" s="207"/>
      <c r="N2363" s="209"/>
      <c r="O2363" s="138"/>
      <c r="S2363" s="72"/>
      <c r="T2363" s="72"/>
      <c r="U2363" s="72"/>
      <c r="V2363" s="72"/>
    </row>
    <row r="2364" spans="1:22" s="278" customFormat="1" ht="15" x14ac:dyDescent="0.25">
      <c r="A2364" s="216"/>
      <c r="B2364" s="217"/>
      <c r="C2364" s="217"/>
      <c r="D2364" s="248"/>
      <c r="E2364" s="218" t="s">
        <v>3344</v>
      </c>
      <c r="F2364" s="219"/>
      <c r="G2364" s="216"/>
      <c r="H2364" s="220"/>
      <c r="I2364" s="221"/>
      <c r="J2364" s="244"/>
      <c r="K2364" s="221"/>
      <c r="L2364" s="221"/>
      <c r="M2364" s="222"/>
      <c r="N2364" s="223"/>
      <c r="O2364" s="245"/>
      <c r="S2364" s="225"/>
      <c r="T2364" s="225"/>
      <c r="U2364" s="225"/>
      <c r="V2364" s="225"/>
    </row>
    <row r="2365" spans="1:22" s="63" customFormat="1" ht="22.5" x14ac:dyDescent="0.25">
      <c r="A2365" s="80">
        <v>17.100000000000001</v>
      </c>
      <c r="B2365" s="81" t="s">
        <v>65</v>
      </c>
      <c r="C2365" s="82">
        <v>1</v>
      </c>
      <c r="D2365" s="131" t="s">
        <v>2147</v>
      </c>
      <c r="E2365" s="83" t="s">
        <v>2148</v>
      </c>
      <c r="F2365" s="81" t="s">
        <v>219</v>
      </c>
      <c r="G2365" s="82">
        <v>1</v>
      </c>
      <c r="H2365" s="85"/>
      <c r="I2365" s="86">
        <f>7185.44-0.02</f>
        <v>7185.4199999999992</v>
      </c>
      <c r="J2365" s="185">
        <f>ROUND($I2365/$G2365*$N$11,2)</f>
        <v>8181.32</v>
      </c>
      <c r="K2365" s="189">
        <f t="shared" ref="K2365:K2396" si="228">ROUND(G2365*J2365,2)</f>
        <v>8181.32</v>
      </c>
      <c r="L2365" s="189"/>
      <c r="M2365" s="138"/>
      <c r="N2365" s="138"/>
      <c r="O2365" s="138"/>
      <c r="S2365" s="72"/>
      <c r="T2365" s="72"/>
      <c r="U2365" s="72"/>
      <c r="V2365" s="72"/>
    </row>
    <row r="2366" spans="1:22" s="63" customFormat="1" ht="22.5" x14ac:dyDescent="0.25">
      <c r="A2366" s="103">
        <v>17.2</v>
      </c>
      <c r="B2366" s="102" t="s">
        <v>65</v>
      </c>
      <c r="C2366" s="103">
        <v>1.1000000000000001</v>
      </c>
      <c r="D2366" s="167" t="s">
        <v>2149</v>
      </c>
      <c r="E2366" s="104" t="s">
        <v>3936</v>
      </c>
      <c r="F2366" s="102" t="s">
        <v>219</v>
      </c>
      <c r="G2366" s="105">
        <v>1</v>
      </c>
      <c r="H2366" s="106"/>
      <c r="I2366" s="107">
        <v>12192.97</v>
      </c>
      <c r="J2366" s="192">
        <f>ROUND($I2366/$G2366*$N$12,2)</f>
        <v>13637.84</v>
      </c>
      <c r="K2366" s="193">
        <f t="shared" si="228"/>
        <v>13637.84</v>
      </c>
      <c r="L2366" s="193"/>
      <c r="M2366" s="138"/>
      <c r="N2366" s="138"/>
      <c r="O2366" s="138"/>
      <c r="S2366" s="72"/>
      <c r="T2366" s="72"/>
      <c r="U2366" s="72"/>
      <c r="V2366" s="72"/>
    </row>
    <row r="2367" spans="1:22" s="63" customFormat="1" ht="15" x14ac:dyDescent="0.25">
      <c r="A2367" s="80">
        <v>17.3</v>
      </c>
      <c r="B2367" s="81" t="s">
        <v>65</v>
      </c>
      <c r="C2367" s="82">
        <v>2</v>
      </c>
      <c r="D2367" s="131" t="s">
        <v>2150</v>
      </c>
      <c r="E2367" s="83" t="s">
        <v>2151</v>
      </c>
      <c r="F2367" s="81" t="s">
        <v>219</v>
      </c>
      <c r="G2367" s="82">
        <v>1</v>
      </c>
      <c r="H2367" s="85"/>
      <c r="I2367" s="86">
        <v>1225.3900000000001</v>
      </c>
      <c r="J2367" s="185">
        <f>ROUND($I2367/$G2367*$N$11,2)</f>
        <v>1395.23</v>
      </c>
      <c r="K2367" s="189">
        <f t="shared" si="228"/>
        <v>1395.23</v>
      </c>
      <c r="L2367" s="189"/>
      <c r="M2367" s="138"/>
      <c r="N2367" s="138"/>
      <c r="O2367" s="138"/>
      <c r="S2367" s="72"/>
      <c r="T2367" s="72"/>
      <c r="U2367" s="72"/>
      <c r="V2367" s="72"/>
    </row>
    <row r="2368" spans="1:22" s="63" customFormat="1" ht="15" x14ac:dyDescent="0.25">
      <c r="A2368" s="103">
        <v>17.399999999999999</v>
      </c>
      <c r="B2368" s="102" t="s">
        <v>65</v>
      </c>
      <c r="C2368" s="103">
        <v>2.1</v>
      </c>
      <c r="D2368" s="167" t="s">
        <v>2152</v>
      </c>
      <c r="E2368" s="104" t="s">
        <v>3937</v>
      </c>
      <c r="F2368" s="102" t="s">
        <v>219</v>
      </c>
      <c r="G2368" s="105">
        <v>1</v>
      </c>
      <c r="H2368" s="106"/>
      <c r="I2368" s="107">
        <v>4455.6400000000003</v>
      </c>
      <c r="J2368" s="192">
        <f>ROUND($I2368/$G2368*$N$12,2)</f>
        <v>4983.63</v>
      </c>
      <c r="K2368" s="193">
        <f t="shared" si="228"/>
        <v>4983.63</v>
      </c>
      <c r="L2368" s="193"/>
      <c r="M2368" s="138"/>
      <c r="N2368" s="138"/>
      <c r="O2368" s="138"/>
      <c r="S2368" s="72"/>
      <c r="T2368" s="72"/>
      <c r="U2368" s="72"/>
      <c r="V2368" s="72"/>
    </row>
    <row r="2369" spans="1:22" s="63" customFormat="1" ht="15" x14ac:dyDescent="0.25">
      <c r="A2369" s="80">
        <v>17.5</v>
      </c>
      <c r="B2369" s="81" t="s">
        <v>65</v>
      </c>
      <c r="C2369" s="82">
        <v>3</v>
      </c>
      <c r="D2369" s="131" t="s">
        <v>2150</v>
      </c>
      <c r="E2369" s="83" t="s">
        <v>2151</v>
      </c>
      <c r="F2369" s="81" t="s">
        <v>219</v>
      </c>
      <c r="G2369" s="82">
        <v>1</v>
      </c>
      <c r="H2369" s="85"/>
      <c r="I2369" s="86">
        <v>1225.3900000000001</v>
      </c>
      <c r="J2369" s="185">
        <f>ROUND($I2369/$G2369*$N$11,2)</f>
        <v>1395.23</v>
      </c>
      <c r="K2369" s="189">
        <f t="shared" si="228"/>
        <v>1395.23</v>
      </c>
      <c r="L2369" s="189"/>
      <c r="M2369" s="138"/>
      <c r="N2369" s="138"/>
      <c r="O2369" s="138"/>
      <c r="S2369" s="72"/>
      <c r="T2369" s="72"/>
      <c r="U2369" s="72"/>
      <c r="V2369" s="72"/>
    </row>
    <row r="2370" spans="1:22" s="63" customFormat="1" ht="15" x14ac:dyDescent="0.25">
      <c r="A2370" s="103">
        <v>17.600000000000001</v>
      </c>
      <c r="B2370" s="102" t="s">
        <v>65</v>
      </c>
      <c r="C2370" s="103">
        <v>3.1</v>
      </c>
      <c r="D2370" s="167" t="s">
        <v>2153</v>
      </c>
      <c r="E2370" s="104" t="s">
        <v>3938</v>
      </c>
      <c r="F2370" s="102" t="s">
        <v>219</v>
      </c>
      <c r="G2370" s="105">
        <v>1</v>
      </c>
      <c r="H2370" s="106"/>
      <c r="I2370" s="107">
        <v>1992.5</v>
      </c>
      <c r="J2370" s="192">
        <f>ROUND($I2370/$G2370*$N$12,2)</f>
        <v>2228.61</v>
      </c>
      <c r="K2370" s="193">
        <f t="shared" si="228"/>
        <v>2228.61</v>
      </c>
      <c r="L2370" s="193"/>
      <c r="M2370" s="138"/>
      <c r="N2370" s="138"/>
      <c r="O2370" s="138"/>
      <c r="S2370" s="72"/>
      <c r="T2370" s="72"/>
      <c r="U2370" s="72"/>
      <c r="V2370" s="72"/>
    </row>
    <row r="2371" spans="1:22" s="63" customFormat="1" ht="15" x14ac:dyDescent="0.25">
      <c r="A2371" s="80">
        <v>17.7</v>
      </c>
      <c r="B2371" s="81" t="s">
        <v>65</v>
      </c>
      <c r="C2371" s="82">
        <v>4</v>
      </c>
      <c r="D2371" s="131" t="s">
        <v>2154</v>
      </c>
      <c r="E2371" s="83" t="s">
        <v>2155</v>
      </c>
      <c r="F2371" s="81" t="s">
        <v>219</v>
      </c>
      <c r="G2371" s="82">
        <v>1</v>
      </c>
      <c r="H2371" s="85"/>
      <c r="I2371" s="86">
        <v>1756.54</v>
      </c>
      <c r="J2371" s="185">
        <f>ROUND($I2371/$G2371*$N$11,2)</f>
        <v>2000</v>
      </c>
      <c r="K2371" s="189">
        <f t="shared" si="228"/>
        <v>2000</v>
      </c>
      <c r="L2371" s="189"/>
      <c r="M2371" s="138"/>
      <c r="N2371" s="138"/>
      <c r="O2371" s="138"/>
      <c r="S2371" s="72"/>
      <c r="T2371" s="72"/>
      <c r="U2371" s="72"/>
      <c r="V2371" s="72"/>
    </row>
    <row r="2372" spans="1:22" s="63" customFormat="1" ht="15" x14ac:dyDescent="0.25">
      <c r="A2372" s="103">
        <v>17.8</v>
      </c>
      <c r="B2372" s="102" t="s">
        <v>65</v>
      </c>
      <c r="C2372" s="103">
        <v>4.0999999999999996</v>
      </c>
      <c r="D2372" s="167" t="s">
        <v>2156</v>
      </c>
      <c r="E2372" s="104" t="s">
        <v>3939</v>
      </c>
      <c r="F2372" s="102" t="s">
        <v>219</v>
      </c>
      <c r="G2372" s="105">
        <v>1</v>
      </c>
      <c r="H2372" s="106"/>
      <c r="I2372" s="107">
        <v>7961.23</v>
      </c>
      <c r="J2372" s="192">
        <f>ROUND($I2372/$G2372*$N$12,2)</f>
        <v>8904.64</v>
      </c>
      <c r="K2372" s="193">
        <f t="shared" si="228"/>
        <v>8904.64</v>
      </c>
      <c r="L2372" s="193"/>
      <c r="M2372" s="138"/>
      <c r="N2372" s="138"/>
      <c r="O2372" s="138"/>
      <c r="S2372" s="72"/>
      <c r="T2372" s="72"/>
      <c r="U2372" s="72"/>
      <c r="V2372" s="72"/>
    </row>
    <row r="2373" spans="1:22" s="63" customFormat="1" ht="15" x14ac:dyDescent="0.25">
      <c r="A2373" s="80">
        <v>17.899999999999999</v>
      </c>
      <c r="B2373" s="81" t="s">
        <v>65</v>
      </c>
      <c r="C2373" s="82">
        <v>5</v>
      </c>
      <c r="D2373" s="131" t="s">
        <v>2150</v>
      </c>
      <c r="E2373" s="83" t="s">
        <v>2151</v>
      </c>
      <c r="F2373" s="81" t="s">
        <v>219</v>
      </c>
      <c r="G2373" s="82">
        <v>3</v>
      </c>
      <c r="H2373" s="85"/>
      <c r="I2373" s="86">
        <v>3676.17</v>
      </c>
      <c r="J2373" s="185">
        <f>ROUND($I2373/$G2373*$N$11,2)</f>
        <v>1395.23</v>
      </c>
      <c r="K2373" s="189">
        <f t="shared" si="228"/>
        <v>4185.6899999999996</v>
      </c>
      <c r="L2373" s="189"/>
      <c r="M2373" s="138"/>
      <c r="N2373" s="138"/>
      <c r="O2373" s="138"/>
      <c r="S2373" s="72"/>
      <c r="T2373" s="72"/>
      <c r="U2373" s="72"/>
      <c r="V2373" s="72"/>
    </row>
    <row r="2374" spans="1:22" s="63" customFormat="1" ht="15" x14ac:dyDescent="0.25">
      <c r="A2374" s="101">
        <v>17.100000000000001</v>
      </c>
      <c r="B2374" s="102" t="s">
        <v>65</v>
      </c>
      <c r="C2374" s="103">
        <v>5.0999999999999996</v>
      </c>
      <c r="D2374" s="167" t="s">
        <v>2157</v>
      </c>
      <c r="E2374" s="104" t="s">
        <v>3940</v>
      </c>
      <c r="F2374" s="102" t="s">
        <v>219</v>
      </c>
      <c r="G2374" s="105">
        <v>3</v>
      </c>
      <c r="H2374" s="106"/>
      <c r="I2374" s="107">
        <v>7210.1</v>
      </c>
      <c r="J2374" s="192">
        <f>ROUND($I2374/$G2374*$N$12,2)</f>
        <v>2688.17</v>
      </c>
      <c r="K2374" s="193">
        <f t="shared" si="228"/>
        <v>8064.51</v>
      </c>
      <c r="L2374" s="193"/>
      <c r="M2374" s="138"/>
      <c r="N2374" s="138"/>
      <c r="O2374" s="138"/>
      <c r="S2374" s="72"/>
      <c r="T2374" s="72"/>
      <c r="U2374" s="72"/>
      <c r="V2374" s="72"/>
    </row>
    <row r="2375" spans="1:22" s="63" customFormat="1" ht="22.5" x14ac:dyDescent="0.25">
      <c r="A2375" s="87">
        <v>17.11</v>
      </c>
      <c r="B2375" s="81" t="s">
        <v>65</v>
      </c>
      <c r="C2375" s="82">
        <v>6</v>
      </c>
      <c r="D2375" s="131" t="s">
        <v>2147</v>
      </c>
      <c r="E2375" s="83" t="s">
        <v>2148</v>
      </c>
      <c r="F2375" s="81" t="s">
        <v>219</v>
      </c>
      <c r="G2375" s="82">
        <v>1</v>
      </c>
      <c r="H2375" s="85"/>
      <c r="I2375" s="86">
        <v>7185.44</v>
      </c>
      <c r="J2375" s="185">
        <f>ROUND($I2375/$G2375*$N$11,2)</f>
        <v>8181.34</v>
      </c>
      <c r="K2375" s="189">
        <f t="shared" si="228"/>
        <v>8181.34</v>
      </c>
      <c r="L2375" s="189"/>
      <c r="M2375" s="138"/>
      <c r="N2375" s="138"/>
      <c r="O2375" s="138"/>
      <c r="S2375" s="72"/>
      <c r="T2375" s="72"/>
      <c r="U2375" s="72"/>
      <c r="V2375" s="72"/>
    </row>
    <row r="2376" spans="1:22" s="63" customFormat="1" ht="22.5" x14ac:dyDescent="0.25">
      <c r="A2376" s="101">
        <v>17.12</v>
      </c>
      <c r="B2376" s="102" t="s">
        <v>65</v>
      </c>
      <c r="C2376" s="103">
        <v>6.1</v>
      </c>
      <c r="D2376" s="167" t="s">
        <v>2158</v>
      </c>
      <c r="E2376" s="104" t="s">
        <v>3941</v>
      </c>
      <c r="F2376" s="102" t="s">
        <v>219</v>
      </c>
      <c r="G2376" s="105">
        <v>1</v>
      </c>
      <c r="H2376" s="106"/>
      <c r="I2376" s="107">
        <v>7935.17</v>
      </c>
      <c r="J2376" s="192">
        <f>ROUND($I2376/$G2376*$N$12,2)</f>
        <v>8875.49</v>
      </c>
      <c r="K2376" s="193">
        <f t="shared" si="228"/>
        <v>8875.49</v>
      </c>
      <c r="L2376" s="193"/>
      <c r="M2376" s="138"/>
      <c r="N2376" s="138"/>
      <c r="O2376" s="138"/>
      <c r="S2376" s="72"/>
      <c r="T2376" s="72"/>
      <c r="U2376" s="72"/>
      <c r="V2376" s="72"/>
    </row>
    <row r="2377" spans="1:22" s="63" customFormat="1" ht="15" x14ac:dyDescent="0.25">
      <c r="A2377" s="87">
        <v>17.13</v>
      </c>
      <c r="B2377" s="81" t="s">
        <v>65</v>
      </c>
      <c r="C2377" s="82">
        <v>7</v>
      </c>
      <c r="D2377" s="131" t="s">
        <v>1000</v>
      </c>
      <c r="E2377" s="83" t="s">
        <v>1001</v>
      </c>
      <c r="F2377" s="81" t="s">
        <v>219</v>
      </c>
      <c r="G2377" s="82">
        <v>1</v>
      </c>
      <c r="H2377" s="85"/>
      <c r="I2377" s="86">
        <v>5911.84</v>
      </c>
      <c r="J2377" s="185">
        <f>ROUND($I2377/$G2377*$N$11,2)</f>
        <v>6731.22</v>
      </c>
      <c r="K2377" s="189">
        <f t="shared" si="228"/>
        <v>6731.22</v>
      </c>
      <c r="L2377" s="189"/>
      <c r="M2377" s="138"/>
      <c r="N2377" s="138"/>
      <c r="O2377" s="138"/>
      <c r="S2377" s="72"/>
      <c r="T2377" s="72"/>
      <c r="U2377" s="72"/>
      <c r="V2377" s="72"/>
    </row>
    <row r="2378" spans="1:22" s="63" customFormat="1" ht="22.5" x14ac:dyDescent="0.25">
      <c r="A2378" s="101">
        <v>17.14</v>
      </c>
      <c r="B2378" s="102" t="s">
        <v>65</v>
      </c>
      <c r="C2378" s="103">
        <v>7.1</v>
      </c>
      <c r="D2378" s="167" t="s">
        <v>2159</v>
      </c>
      <c r="E2378" s="104" t="s">
        <v>3533</v>
      </c>
      <c r="F2378" s="102" t="s">
        <v>219</v>
      </c>
      <c r="G2378" s="105">
        <v>1</v>
      </c>
      <c r="H2378" s="106"/>
      <c r="I2378" s="107">
        <v>4976.33</v>
      </c>
      <c r="J2378" s="192">
        <f>ROUND($I2378/$G2378*$N$12,2)</f>
        <v>5566.03</v>
      </c>
      <c r="K2378" s="193">
        <f t="shared" si="228"/>
        <v>5566.03</v>
      </c>
      <c r="L2378" s="193"/>
      <c r="M2378" s="138"/>
      <c r="N2378" s="138"/>
      <c r="O2378" s="138"/>
      <c r="S2378" s="72"/>
      <c r="T2378" s="72"/>
      <c r="U2378" s="72"/>
      <c r="V2378" s="72"/>
    </row>
    <row r="2379" spans="1:22" s="63" customFormat="1" ht="15" x14ac:dyDescent="0.25">
      <c r="A2379" s="87">
        <v>17.149999999999999</v>
      </c>
      <c r="B2379" s="81" t="s">
        <v>65</v>
      </c>
      <c r="C2379" s="82">
        <v>8</v>
      </c>
      <c r="D2379" s="131" t="s">
        <v>977</v>
      </c>
      <c r="E2379" s="83" t="s">
        <v>978</v>
      </c>
      <c r="F2379" s="81" t="s">
        <v>219</v>
      </c>
      <c r="G2379" s="82">
        <v>4</v>
      </c>
      <c r="H2379" s="85"/>
      <c r="I2379" s="86">
        <v>3756.2</v>
      </c>
      <c r="J2379" s="185">
        <f>ROUND($I2379/$G2379*$N$11,2)</f>
        <v>1069.2</v>
      </c>
      <c r="K2379" s="189">
        <f t="shared" si="228"/>
        <v>4276.8</v>
      </c>
      <c r="L2379" s="189"/>
      <c r="M2379" s="138"/>
      <c r="N2379" s="138"/>
      <c r="O2379" s="138"/>
      <c r="S2379" s="72"/>
      <c r="T2379" s="72"/>
      <c r="U2379" s="72"/>
      <c r="V2379" s="72"/>
    </row>
    <row r="2380" spans="1:22" s="63" customFormat="1" ht="22.5" x14ac:dyDescent="0.25">
      <c r="A2380" s="101">
        <v>17.16</v>
      </c>
      <c r="B2380" s="102" t="s">
        <v>65</v>
      </c>
      <c r="C2380" s="103">
        <v>8.1</v>
      </c>
      <c r="D2380" s="167" t="s">
        <v>980</v>
      </c>
      <c r="E2380" s="104" t="s">
        <v>3942</v>
      </c>
      <c r="F2380" s="102" t="s">
        <v>219</v>
      </c>
      <c r="G2380" s="105">
        <v>2</v>
      </c>
      <c r="H2380" s="106"/>
      <c r="I2380" s="107">
        <v>4525.08</v>
      </c>
      <c r="J2380" s="192">
        <f>ROUND($I2380/$G2380*$N$12,2)</f>
        <v>2530.65</v>
      </c>
      <c r="K2380" s="193">
        <f t="shared" si="228"/>
        <v>5061.3</v>
      </c>
      <c r="L2380" s="193"/>
      <c r="M2380" s="138"/>
      <c r="N2380" s="138"/>
      <c r="O2380" s="138"/>
      <c r="S2380" s="72"/>
      <c r="T2380" s="72"/>
      <c r="U2380" s="72"/>
      <c r="V2380" s="72"/>
    </row>
    <row r="2381" spans="1:22" s="63" customFormat="1" ht="15" x14ac:dyDescent="0.25">
      <c r="A2381" s="101">
        <v>17.170000000000002</v>
      </c>
      <c r="B2381" s="102" t="s">
        <v>65</v>
      </c>
      <c r="C2381" s="103">
        <v>8.1999999999999993</v>
      </c>
      <c r="D2381" s="167" t="s">
        <v>2160</v>
      </c>
      <c r="E2381" s="104" t="s">
        <v>3943</v>
      </c>
      <c r="F2381" s="102" t="s">
        <v>219</v>
      </c>
      <c r="G2381" s="105">
        <v>2</v>
      </c>
      <c r="H2381" s="106"/>
      <c r="I2381" s="107">
        <v>4549.97</v>
      </c>
      <c r="J2381" s="192">
        <f>ROUND($I2381/$G2381*$N$12,2)</f>
        <v>2544.5700000000002</v>
      </c>
      <c r="K2381" s="193">
        <f t="shared" si="228"/>
        <v>5089.1400000000003</v>
      </c>
      <c r="L2381" s="193"/>
      <c r="M2381" s="138"/>
      <c r="N2381" s="138"/>
      <c r="O2381" s="138"/>
      <c r="S2381" s="72"/>
      <c r="T2381" s="72"/>
      <c r="U2381" s="72"/>
      <c r="V2381" s="72"/>
    </row>
    <row r="2382" spans="1:22" s="63" customFormat="1" ht="22.5" x14ac:dyDescent="0.25">
      <c r="A2382" s="87">
        <v>17.18</v>
      </c>
      <c r="B2382" s="81" t="s">
        <v>65</v>
      </c>
      <c r="C2382" s="82">
        <v>9</v>
      </c>
      <c r="D2382" s="131" t="s">
        <v>2161</v>
      </c>
      <c r="E2382" s="83" t="s">
        <v>2162</v>
      </c>
      <c r="F2382" s="81" t="s">
        <v>219</v>
      </c>
      <c r="G2382" s="82">
        <v>183</v>
      </c>
      <c r="H2382" s="85"/>
      <c r="I2382" s="86">
        <v>293830.63</v>
      </c>
      <c r="J2382" s="185">
        <f>ROUND($I2382/$G2382*$N$11,2)</f>
        <v>1828.17</v>
      </c>
      <c r="K2382" s="189">
        <f t="shared" si="228"/>
        <v>334555.11</v>
      </c>
      <c r="L2382" s="189"/>
      <c r="M2382" s="138"/>
      <c r="N2382" s="138"/>
      <c r="O2382" s="138"/>
      <c r="S2382" s="72"/>
      <c r="T2382" s="72"/>
      <c r="U2382" s="72"/>
      <c r="V2382" s="72"/>
    </row>
    <row r="2383" spans="1:22" s="63" customFormat="1" ht="22.5" x14ac:dyDescent="0.25">
      <c r="A2383" s="101">
        <v>17.190000000000001</v>
      </c>
      <c r="B2383" s="102" t="s">
        <v>65</v>
      </c>
      <c r="C2383" s="103">
        <v>9.1</v>
      </c>
      <c r="D2383" s="167" t="s">
        <v>2163</v>
      </c>
      <c r="E2383" s="104" t="s">
        <v>3944</v>
      </c>
      <c r="F2383" s="102" t="s">
        <v>219</v>
      </c>
      <c r="G2383" s="105">
        <v>183</v>
      </c>
      <c r="H2383" s="106"/>
      <c r="I2383" s="107">
        <v>157746.1</v>
      </c>
      <c r="J2383" s="192">
        <f>ROUND($I2383/$G2383*$N$12,2)</f>
        <v>964.15</v>
      </c>
      <c r="K2383" s="193">
        <f t="shared" si="228"/>
        <v>176439.45</v>
      </c>
      <c r="L2383" s="193"/>
      <c r="M2383" s="138"/>
      <c r="N2383" s="138"/>
      <c r="O2383" s="138"/>
      <c r="S2383" s="72"/>
      <c r="T2383" s="72"/>
      <c r="U2383" s="72"/>
      <c r="V2383" s="72"/>
    </row>
    <row r="2384" spans="1:22" s="63" customFormat="1" ht="22.5" x14ac:dyDescent="0.25">
      <c r="A2384" s="87">
        <v>17.2</v>
      </c>
      <c r="B2384" s="81" t="s">
        <v>65</v>
      </c>
      <c r="C2384" s="82">
        <v>10</v>
      </c>
      <c r="D2384" s="131" t="s">
        <v>1002</v>
      </c>
      <c r="E2384" s="83" t="s">
        <v>1003</v>
      </c>
      <c r="F2384" s="81" t="s">
        <v>219</v>
      </c>
      <c r="G2384" s="82">
        <v>7</v>
      </c>
      <c r="H2384" s="85"/>
      <c r="I2384" s="86">
        <v>5623.89</v>
      </c>
      <c r="J2384" s="185">
        <f>ROUND($I2384/$G2384*$N$11,2)</f>
        <v>914.77</v>
      </c>
      <c r="K2384" s="189">
        <f t="shared" si="228"/>
        <v>6403.39</v>
      </c>
      <c r="L2384" s="189"/>
      <c r="M2384" s="138"/>
      <c r="N2384" s="138"/>
      <c r="O2384" s="138"/>
      <c r="S2384" s="72"/>
      <c r="T2384" s="72"/>
      <c r="U2384" s="72"/>
      <c r="V2384" s="72"/>
    </row>
    <row r="2385" spans="1:22" s="63" customFormat="1" ht="15" x14ac:dyDescent="0.25">
      <c r="A2385" s="101">
        <v>17.21</v>
      </c>
      <c r="B2385" s="102" t="s">
        <v>65</v>
      </c>
      <c r="C2385" s="103">
        <v>10.1</v>
      </c>
      <c r="D2385" s="167" t="s">
        <v>2164</v>
      </c>
      <c r="E2385" s="104" t="s">
        <v>3945</v>
      </c>
      <c r="F2385" s="102" t="s">
        <v>219</v>
      </c>
      <c r="G2385" s="105">
        <v>7</v>
      </c>
      <c r="H2385" s="106"/>
      <c r="I2385" s="107">
        <v>6072.04</v>
      </c>
      <c r="J2385" s="192">
        <f>ROUND($I2385/$G2385*$N$12,2)</f>
        <v>970.23</v>
      </c>
      <c r="K2385" s="193">
        <f t="shared" si="228"/>
        <v>6791.61</v>
      </c>
      <c r="L2385" s="193"/>
      <c r="M2385" s="138"/>
      <c r="N2385" s="138"/>
      <c r="O2385" s="138"/>
      <c r="S2385" s="72"/>
      <c r="T2385" s="72"/>
      <c r="U2385" s="72"/>
      <c r="V2385" s="72"/>
    </row>
    <row r="2386" spans="1:22" s="63" customFormat="1" ht="22.5" x14ac:dyDescent="0.25">
      <c r="A2386" s="87">
        <v>17.22</v>
      </c>
      <c r="B2386" s="81" t="s">
        <v>65</v>
      </c>
      <c r="C2386" s="82">
        <v>11</v>
      </c>
      <c r="D2386" s="131" t="s">
        <v>1002</v>
      </c>
      <c r="E2386" s="83" t="s">
        <v>2165</v>
      </c>
      <c r="F2386" s="81" t="s">
        <v>219</v>
      </c>
      <c r="G2386" s="82">
        <v>18</v>
      </c>
      <c r="H2386" s="85"/>
      <c r="I2386" s="86">
        <v>14461.38</v>
      </c>
      <c r="J2386" s="185">
        <f>ROUND($I2386/$G2386*$N$11,2)</f>
        <v>914.76</v>
      </c>
      <c r="K2386" s="189">
        <f t="shared" si="228"/>
        <v>16465.68</v>
      </c>
      <c r="L2386" s="189"/>
      <c r="M2386" s="138"/>
      <c r="N2386" s="138"/>
      <c r="O2386" s="138"/>
      <c r="S2386" s="72"/>
      <c r="T2386" s="72"/>
      <c r="U2386" s="72"/>
      <c r="V2386" s="72"/>
    </row>
    <row r="2387" spans="1:22" s="63" customFormat="1" ht="15" x14ac:dyDescent="0.25">
      <c r="A2387" s="101">
        <v>17.23</v>
      </c>
      <c r="B2387" s="102" t="s">
        <v>65</v>
      </c>
      <c r="C2387" s="103">
        <v>11.1</v>
      </c>
      <c r="D2387" s="167" t="s">
        <v>2166</v>
      </c>
      <c r="E2387" s="104" t="s">
        <v>3946</v>
      </c>
      <c r="F2387" s="102" t="s">
        <v>219</v>
      </c>
      <c r="G2387" s="105">
        <v>18</v>
      </c>
      <c r="H2387" s="106"/>
      <c r="I2387" s="107">
        <v>10839.65</v>
      </c>
      <c r="J2387" s="192">
        <f>ROUND($I2387/$G2387*$N$12,2)</f>
        <v>673.56</v>
      </c>
      <c r="K2387" s="193">
        <f t="shared" si="228"/>
        <v>12124.08</v>
      </c>
      <c r="L2387" s="193"/>
      <c r="M2387" s="138"/>
      <c r="N2387" s="138"/>
      <c r="O2387" s="138"/>
      <c r="S2387" s="72"/>
      <c r="T2387" s="72"/>
      <c r="U2387" s="72"/>
      <c r="V2387" s="72"/>
    </row>
    <row r="2388" spans="1:22" s="63" customFormat="1" ht="15" x14ac:dyDescent="0.25">
      <c r="A2388" s="87">
        <v>17.239999999999998</v>
      </c>
      <c r="B2388" s="81" t="s">
        <v>65</v>
      </c>
      <c r="C2388" s="82">
        <v>12</v>
      </c>
      <c r="D2388" s="131" t="s">
        <v>2167</v>
      </c>
      <c r="E2388" s="83" t="s">
        <v>2168</v>
      </c>
      <c r="F2388" s="81" t="s">
        <v>219</v>
      </c>
      <c r="G2388" s="82">
        <v>2</v>
      </c>
      <c r="H2388" s="85"/>
      <c r="I2388" s="86">
        <v>7168.79</v>
      </c>
      <c r="J2388" s="185">
        <f>ROUND($I2388/$G2388*$N$11,2)</f>
        <v>4081.19</v>
      </c>
      <c r="K2388" s="189">
        <f t="shared" si="228"/>
        <v>8162.38</v>
      </c>
      <c r="L2388" s="189"/>
      <c r="M2388" s="138"/>
      <c r="N2388" s="138"/>
      <c r="O2388" s="138"/>
      <c r="S2388" s="72"/>
      <c r="T2388" s="72"/>
      <c r="U2388" s="72"/>
      <c r="V2388" s="72"/>
    </row>
    <row r="2389" spans="1:22" s="63" customFormat="1" ht="15" x14ac:dyDescent="0.25">
      <c r="A2389" s="101">
        <v>17.25</v>
      </c>
      <c r="B2389" s="102" t="s">
        <v>65</v>
      </c>
      <c r="C2389" s="103">
        <v>12.1</v>
      </c>
      <c r="D2389" s="167" t="s">
        <v>2169</v>
      </c>
      <c r="E2389" s="104" t="s">
        <v>3947</v>
      </c>
      <c r="F2389" s="102" t="s">
        <v>219</v>
      </c>
      <c r="G2389" s="105">
        <v>2</v>
      </c>
      <c r="H2389" s="106"/>
      <c r="I2389" s="107">
        <v>687.06</v>
      </c>
      <c r="J2389" s="192">
        <f>ROUND($I2389/$G2389*$N$12,2)</f>
        <v>384.24</v>
      </c>
      <c r="K2389" s="193">
        <f t="shared" si="228"/>
        <v>768.48</v>
      </c>
      <c r="L2389" s="193"/>
      <c r="M2389" s="138"/>
      <c r="N2389" s="138"/>
      <c r="O2389" s="138"/>
      <c r="S2389" s="72"/>
      <c r="T2389" s="72"/>
      <c r="U2389" s="72"/>
      <c r="V2389" s="72"/>
    </row>
    <row r="2390" spans="1:22" s="63" customFormat="1" ht="15" x14ac:dyDescent="0.25">
      <c r="A2390" s="87">
        <v>17.260000000000002</v>
      </c>
      <c r="B2390" s="81" t="s">
        <v>65</v>
      </c>
      <c r="C2390" s="82">
        <v>13</v>
      </c>
      <c r="D2390" s="131" t="s">
        <v>2170</v>
      </c>
      <c r="E2390" s="83" t="s">
        <v>2171</v>
      </c>
      <c r="F2390" s="81" t="s">
        <v>219</v>
      </c>
      <c r="G2390" s="82">
        <v>37</v>
      </c>
      <c r="H2390" s="85"/>
      <c r="I2390" s="86">
        <v>74198.559999999998</v>
      </c>
      <c r="J2390" s="185">
        <f>ROUND($I2390/$G2390*$N$11,2)</f>
        <v>2283.31</v>
      </c>
      <c r="K2390" s="189">
        <f t="shared" si="228"/>
        <v>84482.47</v>
      </c>
      <c r="L2390" s="189"/>
      <c r="M2390" s="138"/>
      <c r="N2390" s="138"/>
      <c r="O2390" s="138"/>
      <c r="S2390" s="72"/>
      <c r="T2390" s="72"/>
      <c r="U2390" s="72"/>
      <c r="V2390" s="72"/>
    </row>
    <row r="2391" spans="1:22" s="63" customFormat="1" ht="15" x14ac:dyDescent="0.25">
      <c r="A2391" s="101">
        <v>17.27</v>
      </c>
      <c r="B2391" s="102" t="s">
        <v>65</v>
      </c>
      <c r="C2391" s="103">
        <v>13.1</v>
      </c>
      <c r="D2391" s="167" t="s">
        <v>2172</v>
      </c>
      <c r="E2391" s="104" t="s">
        <v>3948</v>
      </c>
      <c r="F2391" s="102" t="s">
        <v>219</v>
      </c>
      <c r="G2391" s="105">
        <v>37</v>
      </c>
      <c r="H2391" s="106"/>
      <c r="I2391" s="107">
        <v>28515.5</v>
      </c>
      <c r="J2391" s="192">
        <f>ROUND($I2391/$G2391*$N$12,2)</f>
        <v>862.02</v>
      </c>
      <c r="K2391" s="193">
        <f t="shared" si="228"/>
        <v>31894.74</v>
      </c>
      <c r="L2391" s="193"/>
      <c r="M2391" s="138"/>
      <c r="N2391" s="138"/>
      <c r="O2391" s="138"/>
      <c r="S2391" s="72"/>
      <c r="T2391" s="72"/>
      <c r="U2391" s="72"/>
      <c r="V2391" s="72"/>
    </row>
    <row r="2392" spans="1:22" s="63" customFormat="1" ht="15" x14ac:dyDescent="0.25">
      <c r="A2392" s="87">
        <v>17.28</v>
      </c>
      <c r="B2392" s="81" t="s">
        <v>65</v>
      </c>
      <c r="C2392" s="82">
        <v>14</v>
      </c>
      <c r="D2392" s="131" t="s">
        <v>989</v>
      </c>
      <c r="E2392" s="83" t="s">
        <v>990</v>
      </c>
      <c r="F2392" s="81" t="s">
        <v>216</v>
      </c>
      <c r="G2392" s="87">
        <v>0.16</v>
      </c>
      <c r="H2392" s="85"/>
      <c r="I2392" s="86">
        <v>13647.44</v>
      </c>
      <c r="J2392" s="185">
        <f>ROUND($I2392/$G2392*$N$11,2)</f>
        <v>97118.59</v>
      </c>
      <c r="K2392" s="189">
        <f t="shared" si="228"/>
        <v>15538.97</v>
      </c>
      <c r="L2392" s="189"/>
      <c r="M2392" s="138"/>
      <c r="N2392" s="138"/>
      <c r="O2392" s="138"/>
      <c r="S2392" s="72"/>
      <c r="T2392" s="72"/>
      <c r="U2392" s="72"/>
      <c r="V2392" s="72"/>
    </row>
    <row r="2393" spans="1:22" s="63" customFormat="1" ht="15" x14ac:dyDescent="0.25">
      <c r="A2393" s="101">
        <v>17.29</v>
      </c>
      <c r="B2393" s="102" t="s">
        <v>65</v>
      </c>
      <c r="C2393" s="103">
        <v>14.1</v>
      </c>
      <c r="D2393" s="167" t="s">
        <v>2173</v>
      </c>
      <c r="E2393" s="104" t="s">
        <v>3530</v>
      </c>
      <c r="F2393" s="102" t="s">
        <v>219</v>
      </c>
      <c r="G2393" s="105">
        <v>16</v>
      </c>
      <c r="H2393" s="106"/>
      <c r="I2393" s="107">
        <v>36262.6</v>
      </c>
      <c r="J2393" s="192">
        <f>ROUND($I2393/$G2393*$N$12,2)</f>
        <v>2534.98</v>
      </c>
      <c r="K2393" s="193">
        <f t="shared" si="228"/>
        <v>40559.68</v>
      </c>
      <c r="L2393" s="193"/>
      <c r="M2393" s="138"/>
      <c r="N2393" s="138"/>
      <c r="O2393" s="138"/>
      <c r="S2393" s="72"/>
      <c r="T2393" s="72"/>
      <c r="U2393" s="72"/>
      <c r="V2393" s="72"/>
    </row>
    <row r="2394" spans="1:22" s="63" customFormat="1" ht="15" x14ac:dyDescent="0.25">
      <c r="A2394" s="87">
        <v>17.3</v>
      </c>
      <c r="B2394" s="81" t="s">
        <v>65</v>
      </c>
      <c r="C2394" s="82">
        <v>15</v>
      </c>
      <c r="D2394" s="131" t="s">
        <v>2174</v>
      </c>
      <c r="E2394" s="83" t="s">
        <v>2175</v>
      </c>
      <c r="F2394" s="81" t="s">
        <v>219</v>
      </c>
      <c r="G2394" s="82">
        <v>14</v>
      </c>
      <c r="H2394" s="85"/>
      <c r="I2394" s="86">
        <v>23491.1</v>
      </c>
      <c r="J2394" s="185">
        <f>ROUND($I2394/$G2394*$N$11,2)</f>
        <v>1910.5</v>
      </c>
      <c r="K2394" s="189">
        <f t="shared" si="228"/>
        <v>26747</v>
      </c>
      <c r="L2394" s="189"/>
      <c r="M2394" s="138"/>
      <c r="N2394" s="138"/>
      <c r="O2394" s="138"/>
      <c r="S2394" s="72"/>
      <c r="T2394" s="72"/>
      <c r="U2394" s="72"/>
      <c r="V2394" s="72"/>
    </row>
    <row r="2395" spans="1:22" s="63" customFormat="1" ht="15" x14ac:dyDescent="0.25">
      <c r="A2395" s="101">
        <v>17.309999999999999</v>
      </c>
      <c r="B2395" s="102" t="s">
        <v>65</v>
      </c>
      <c r="C2395" s="103">
        <v>15.1</v>
      </c>
      <c r="D2395" s="167" t="s">
        <v>2166</v>
      </c>
      <c r="E2395" s="104" t="s">
        <v>3949</v>
      </c>
      <c r="F2395" s="102" t="s">
        <v>219</v>
      </c>
      <c r="G2395" s="105">
        <v>14</v>
      </c>
      <c r="H2395" s="106"/>
      <c r="I2395" s="107">
        <v>5478.53</v>
      </c>
      <c r="J2395" s="192">
        <f>ROUND($I2395/$G2395*$N$12,2)</f>
        <v>437.7</v>
      </c>
      <c r="K2395" s="193">
        <f t="shared" si="228"/>
        <v>6127.8</v>
      </c>
      <c r="L2395" s="193"/>
      <c r="M2395" s="138"/>
      <c r="N2395" s="138"/>
      <c r="O2395" s="138"/>
      <c r="S2395" s="72"/>
      <c r="T2395" s="72"/>
      <c r="U2395" s="72"/>
      <c r="V2395" s="72"/>
    </row>
    <row r="2396" spans="1:22" s="63" customFormat="1" ht="15" x14ac:dyDescent="0.25">
      <c r="A2396" s="87">
        <v>17.32</v>
      </c>
      <c r="B2396" s="81" t="s">
        <v>65</v>
      </c>
      <c r="C2396" s="82">
        <v>16</v>
      </c>
      <c r="D2396" s="131" t="s">
        <v>2176</v>
      </c>
      <c r="E2396" s="83" t="s">
        <v>2177</v>
      </c>
      <c r="F2396" s="81" t="s">
        <v>216</v>
      </c>
      <c r="G2396" s="87">
        <v>0.01</v>
      </c>
      <c r="H2396" s="85"/>
      <c r="I2396" s="86">
        <v>733.66</v>
      </c>
      <c r="J2396" s="185">
        <f>ROUND($I2396/$G2396*$N$11,2)</f>
        <v>83534.53</v>
      </c>
      <c r="K2396" s="189">
        <f t="shared" si="228"/>
        <v>835.35</v>
      </c>
      <c r="L2396" s="189"/>
      <c r="M2396" s="138"/>
      <c r="N2396" s="138"/>
      <c r="O2396" s="138"/>
      <c r="S2396" s="72"/>
      <c r="T2396" s="72"/>
      <c r="U2396" s="72"/>
      <c r="V2396" s="72"/>
    </row>
    <row r="2397" spans="1:22" s="63" customFormat="1" ht="22.5" x14ac:dyDescent="0.25">
      <c r="A2397" s="124">
        <v>17.329999999999998</v>
      </c>
      <c r="B2397" s="112" t="s">
        <v>65</v>
      </c>
      <c r="C2397" s="113">
        <v>16.100000000000001</v>
      </c>
      <c r="D2397" s="168" t="s">
        <v>2178</v>
      </c>
      <c r="E2397" s="114" t="s">
        <v>3950</v>
      </c>
      <c r="F2397" s="112" t="s">
        <v>219</v>
      </c>
      <c r="G2397" s="115">
        <v>1</v>
      </c>
      <c r="H2397" s="116"/>
      <c r="I2397" s="117">
        <v>967.92</v>
      </c>
      <c r="J2397" s="185">
        <f>ROUND($I2397/$G2397*$N$11,2)</f>
        <v>1102.07</v>
      </c>
      <c r="K2397" s="189">
        <f t="shared" ref="K2397:K2419" si="229">ROUND(G2397*J2397,2)</f>
        <v>1102.07</v>
      </c>
      <c r="L2397" s="189"/>
      <c r="M2397" s="138"/>
      <c r="N2397" s="138"/>
      <c r="O2397" s="138"/>
      <c r="S2397" s="72"/>
      <c r="T2397" s="72"/>
      <c r="U2397" s="72"/>
      <c r="V2397" s="72"/>
    </row>
    <row r="2398" spans="1:22" s="63" customFormat="1" ht="22.5" x14ac:dyDescent="0.25">
      <c r="A2398" s="87">
        <v>17.34</v>
      </c>
      <c r="B2398" s="81" t="s">
        <v>65</v>
      </c>
      <c r="C2398" s="82">
        <v>17</v>
      </c>
      <c r="D2398" s="131" t="s">
        <v>783</v>
      </c>
      <c r="E2398" s="83" t="s">
        <v>784</v>
      </c>
      <c r="F2398" s="81" t="s">
        <v>219</v>
      </c>
      <c r="G2398" s="82">
        <v>5</v>
      </c>
      <c r="H2398" s="85"/>
      <c r="I2398" s="86">
        <v>16380.99</v>
      </c>
      <c r="J2398" s="185">
        <f>ROUND($I2398/$G2398*$N$11,2)</f>
        <v>3730.28</v>
      </c>
      <c r="K2398" s="189">
        <f t="shared" si="229"/>
        <v>18651.400000000001</v>
      </c>
      <c r="L2398" s="189"/>
      <c r="M2398" s="138"/>
      <c r="N2398" s="138"/>
      <c r="O2398" s="138"/>
      <c r="S2398" s="72"/>
      <c r="T2398" s="72"/>
      <c r="U2398" s="72"/>
      <c r="V2398" s="72"/>
    </row>
    <row r="2399" spans="1:22" s="63" customFormat="1" ht="15" x14ac:dyDescent="0.25">
      <c r="A2399" s="101">
        <v>17.350000000000001</v>
      </c>
      <c r="B2399" s="102" t="s">
        <v>65</v>
      </c>
      <c r="C2399" s="103">
        <v>17.100000000000001</v>
      </c>
      <c r="D2399" s="167" t="s">
        <v>2179</v>
      </c>
      <c r="E2399" s="104" t="s">
        <v>3951</v>
      </c>
      <c r="F2399" s="102" t="s">
        <v>219</v>
      </c>
      <c r="G2399" s="105">
        <v>2</v>
      </c>
      <c r="H2399" s="106"/>
      <c r="I2399" s="107">
        <v>34519.9</v>
      </c>
      <c r="J2399" s="192">
        <f>ROUND($I2399/$G2399*$N$12,2)</f>
        <v>19305.25</v>
      </c>
      <c r="K2399" s="193">
        <f t="shared" si="229"/>
        <v>38610.5</v>
      </c>
      <c r="L2399" s="193"/>
      <c r="M2399" s="138"/>
      <c r="N2399" s="138"/>
      <c r="O2399" s="138"/>
      <c r="S2399" s="72"/>
      <c r="T2399" s="72"/>
      <c r="U2399" s="72"/>
      <c r="V2399" s="72"/>
    </row>
    <row r="2400" spans="1:22" s="63" customFormat="1" ht="22.5" x14ac:dyDescent="0.25">
      <c r="A2400" s="101">
        <v>17.36</v>
      </c>
      <c r="B2400" s="102" t="s">
        <v>65</v>
      </c>
      <c r="C2400" s="103">
        <v>17.2</v>
      </c>
      <c r="D2400" s="167" t="s">
        <v>2180</v>
      </c>
      <c r="E2400" s="104" t="s">
        <v>3952</v>
      </c>
      <c r="F2400" s="102" t="s">
        <v>219</v>
      </c>
      <c r="G2400" s="105">
        <v>2</v>
      </c>
      <c r="H2400" s="106"/>
      <c r="I2400" s="107">
        <v>51589.41</v>
      </c>
      <c r="J2400" s="192">
        <f>ROUND($I2400/$G2400*$N$12,2)</f>
        <v>28851.38</v>
      </c>
      <c r="K2400" s="193">
        <f t="shared" si="229"/>
        <v>57702.76</v>
      </c>
      <c r="L2400" s="193"/>
      <c r="M2400" s="138"/>
      <c r="N2400" s="138"/>
      <c r="O2400" s="138"/>
      <c r="S2400" s="72"/>
      <c r="T2400" s="72"/>
      <c r="U2400" s="72"/>
      <c r="V2400" s="72"/>
    </row>
    <row r="2401" spans="1:22" s="63" customFormat="1" ht="22.5" x14ac:dyDescent="0.25">
      <c r="A2401" s="101">
        <v>17.37</v>
      </c>
      <c r="B2401" s="102" t="s">
        <v>65</v>
      </c>
      <c r="C2401" s="103">
        <v>17.3</v>
      </c>
      <c r="D2401" s="167" t="s">
        <v>2181</v>
      </c>
      <c r="E2401" s="104" t="s">
        <v>3953</v>
      </c>
      <c r="F2401" s="102" t="s">
        <v>219</v>
      </c>
      <c r="G2401" s="105">
        <v>1</v>
      </c>
      <c r="H2401" s="106"/>
      <c r="I2401" s="107">
        <v>19874.82</v>
      </c>
      <c r="J2401" s="192">
        <f>ROUND($I2401/$G2401*$N$12,2)</f>
        <v>22229.99</v>
      </c>
      <c r="K2401" s="193">
        <f t="shared" si="229"/>
        <v>22229.99</v>
      </c>
      <c r="L2401" s="193"/>
      <c r="M2401" s="138"/>
      <c r="N2401" s="138"/>
      <c r="O2401" s="138"/>
      <c r="S2401" s="72"/>
      <c r="T2401" s="72"/>
      <c r="U2401" s="72"/>
      <c r="V2401" s="72"/>
    </row>
    <row r="2402" spans="1:22" s="63" customFormat="1" ht="22.5" x14ac:dyDescent="0.25">
      <c r="A2402" s="124">
        <v>17.38</v>
      </c>
      <c r="B2402" s="112" t="s">
        <v>65</v>
      </c>
      <c r="C2402" s="113">
        <v>17.399999999999999</v>
      </c>
      <c r="D2402" s="168" t="s">
        <v>2182</v>
      </c>
      <c r="E2402" s="114" t="s">
        <v>3954</v>
      </c>
      <c r="F2402" s="112" t="s">
        <v>219</v>
      </c>
      <c r="G2402" s="115">
        <v>36</v>
      </c>
      <c r="H2402" s="116"/>
      <c r="I2402" s="117">
        <v>673.46</v>
      </c>
      <c r="J2402" s="185">
        <f t="shared" ref="J2402:J2413" si="230">ROUND($I2402/$G2402*$N$11,2)</f>
        <v>21.3</v>
      </c>
      <c r="K2402" s="189">
        <f t="shared" si="229"/>
        <v>766.8</v>
      </c>
      <c r="L2402" s="189"/>
      <c r="M2402" s="138"/>
      <c r="N2402" s="138"/>
      <c r="O2402" s="138"/>
      <c r="S2402" s="72"/>
      <c r="T2402" s="72"/>
      <c r="U2402" s="72"/>
      <c r="V2402" s="72"/>
    </row>
    <row r="2403" spans="1:22" s="63" customFormat="1" ht="15" x14ac:dyDescent="0.25">
      <c r="A2403" s="87">
        <v>17.39</v>
      </c>
      <c r="B2403" s="81" t="s">
        <v>65</v>
      </c>
      <c r="C2403" s="82">
        <v>18</v>
      </c>
      <c r="D2403" s="131" t="s">
        <v>995</v>
      </c>
      <c r="E2403" s="83" t="s">
        <v>996</v>
      </c>
      <c r="F2403" s="81" t="s">
        <v>354</v>
      </c>
      <c r="G2403" s="87">
        <v>13.04</v>
      </c>
      <c r="H2403" s="85"/>
      <c r="I2403" s="86">
        <v>211289.74</v>
      </c>
      <c r="J2403" s="185">
        <f t="shared" si="230"/>
        <v>18448.96</v>
      </c>
      <c r="K2403" s="189">
        <f t="shared" si="229"/>
        <v>240574.44</v>
      </c>
      <c r="L2403" s="189"/>
      <c r="M2403" s="138"/>
      <c r="N2403" s="138"/>
      <c r="O2403" s="138"/>
      <c r="S2403" s="72"/>
      <c r="T2403" s="72"/>
      <c r="U2403" s="72"/>
      <c r="V2403" s="72"/>
    </row>
    <row r="2404" spans="1:22" s="63" customFormat="1" ht="22.5" x14ac:dyDescent="0.25">
      <c r="A2404" s="87">
        <v>17.399999999999999</v>
      </c>
      <c r="B2404" s="81" t="s">
        <v>65</v>
      </c>
      <c r="C2404" s="80">
        <v>18.100000000000001</v>
      </c>
      <c r="D2404" s="131" t="s">
        <v>2183</v>
      </c>
      <c r="E2404" s="83" t="s">
        <v>3955</v>
      </c>
      <c r="F2404" s="81" t="s">
        <v>219</v>
      </c>
      <c r="G2404" s="82">
        <v>2</v>
      </c>
      <c r="H2404" s="85"/>
      <c r="I2404" s="86">
        <v>55.23</v>
      </c>
      <c r="J2404" s="185">
        <f t="shared" si="230"/>
        <v>31.44</v>
      </c>
      <c r="K2404" s="189">
        <f t="shared" si="229"/>
        <v>62.88</v>
      </c>
      <c r="L2404" s="189"/>
      <c r="M2404" s="138"/>
      <c r="N2404" s="138"/>
      <c r="O2404" s="138"/>
      <c r="S2404" s="72"/>
      <c r="T2404" s="72"/>
      <c r="U2404" s="72"/>
      <c r="V2404" s="72"/>
    </row>
    <row r="2405" spans="1:22" s="63" customFormat="1" ht="22.5" x14ac:dyDescent="0.25">
      <c r="A2405" s="87">
        <v>17.41</v>
      </c>
      <c r="B2405" s="81" t="s">
        <v>65</v>
      </c>
      <c r="C2405" s="80">
        <v>18.2</v>
      </c>
      <c r="D2405" s="131" t="s">
        <v>997</v>
      </c>
      <c r="E2405" s="83" t="s">
        <v>998</v>
      </c>
      <c r="F2405" s="81" t="s">
        <v>354</v>
      </c>
      <c r="G2405" s="82">
        <v>13</v>
      </c>
      <c r="H2405" s="85"/>
      <c r="I2405" s="86">
        <v>13246.74</v>
      </c>
      <c r="J2405" s="185">
        <f t="shared" si="230"/>
        <v>1160.21</v>
      </c>
      <c r="K2405" s="189">
        <f t="shared" si="229"/>
        <v>15082.73</v>
      </c>
      <c r="L2405" s="189"/>
      <c r="M2405" s="138"/>
      <c r="N2405" s="138"/>
      <c r="O2405" s="138"/>
      <c r="S2405" s="72"/>
      <c r="T2405" s="72"/>
      <c r="U2405" s="72"/>
      <c r="V2405" s="72"/>
    </row>
    <row r="2406" spans="1:22" s="63" customFormat="1" ht="22.5" x14ac:dyDescent="0.25">
      <c r="A2406" s="87">
        <v>17.420000000000002</v>
      </c>
      <c r="B2406" s="81" t="s">
        <v>65</v>
      </c>
      <c r="C2406" s="82">
        <v>19</v>
      </c>
      <c r="D2406" s="131" t="s">
        <v>2184</v>
      </c>
      <c r="E2406" s="83" t="s">
        <v>2185</v>
      </c>
      <c r="F2406" s="81" t="s">
        <v>354</v>
      </c>
      <c r="G2406" s="80">
        <v>0.2</v>
      </c>
      <c r="H2406" s="85"/>
      <c r="I2406" s="86">
        <v>3557.67</v>
      </c>
      <c r="J2406" s="185">
        <f t="shared" si="230"/>
        <v>20253.82</v>
      </c>
      <c r="K2406" s="189">
        <f t="shared" si="229"/>
        <v>4050.76</v>
      </c>
      <c r="L2406" s="189"/>
      <c r="M2406" s="138"/>
      <c r="N2406" s="138"/>
      <c r="O2406" s="138"/>
      <c r="S2406" s="72"/>
      <c r="T2406" s="72"/>
      <c r="U2406" s="72"/>
      <c r="V2406" s="72"/>
    </row>
    <row r="2407" spans="1:22" s="63" customFormat="1" ht="22.5" x14ac:dyDescent="0.25">
      <c r="A2407" s="87">
        <v>17.43</v>
      </c>
      <c r="B2407" s="81" t="s">
        <v>65</v>
      </c>
      <c r="C2407" s="80">
        <v>19.100000000000001</v>
      </c>
      <c r="D2407" s="131" t="s">
        <v>2186</v>
      </c>
      <c r="E2407" s="83" t="s">
        <v>2187</v>
      </c>
      <c r="F2407" s="81" t="s">
        <v>334</v>
      </c>
      <c r="G2407" s="80">
        <v>20.399999999999999</v>
      </c>
      <c r="H2407" s="85"/>
      <c r="I2407" s="86">
        <v>1641.2</v>
      </c>
      <c r="J2407" s="185">
        <f t="shared" si="230"/>
        <v>91.6</v>
      </c>
      <c r="K2407" s="189">
        <f t="shared" si="229"/>
        <v>1868.64</v>
      </c>
      <c r="L2407" s="189"/>
      <c r="M2407" s="138"/>
      <c r="N2407" s="138"/>
      <c r="O2407" s="138"/>
      <c r="S2407" s="72"/>
      <c r="T2407" s="72"/>
      <c r="U2407" s="72"/>
      <c r="V2407" s="72"/>
    </row>
    <row r="2408" spans="1:22" s="63" customFormat="1" ht="22.5" x14ac:dyDescent="0.25">
      <c r="A2408" s="87">
        <v>17.440000000000001</v>
      </c>
      <c r="B2408" s="81" t="s">
        <v>65</v>
      </c>
      <c r="C2408" s="82">
        <v>20</v>
      </c>
      <c r="D2408" s="131" t="s">
        <v>2188</v>
      </c>
      <c r="E2408" s="83" t="s">
        <v>2189</v>
      </c>
      <c r="F2408" s="81" t="s">
        <v>219</v>
      </c>
      <c r="G2408" s="82">
        <v>30</v>
      </c>
      <c r="H2408" s="85"/>
      <c r="I2408" s="86">
        <v>16150.07</v>
      </c>
      <c r="J2408" s="185">
        <f t="shared" si="230"/>
        <v>612.95000000000005</v>
      </c>
      <c r="K2408" s="189">
        <f t="shared" si="229"/>
        <v>18388.5</v>
      </c>
      <c r="L2408" s="189"/>
      <c r="M2408" s="138"/>
      <c r="N2408" s="138"/>
      <c r="O2408" s="138"/>
      <c r="S2408" s="72"/>
      <c r="T2408" s="72"/>
      <c r="U2408" s="72"/>
      <c r="V2408" s="72"/>
    </row>
    <row r="2409" spans="1:22" s="63" customFormat="1" ht="22.5" x14ac:dyDescent="0.25">
      <c r="A2409" s="87">
        <v>17.45</v>
      </c>
      <c r="B2409" s="81" t="s">
        <v>65</v>
      </c>
      <c r="C2409" s="80">
        <v>20.100000000000001</v>
      </c>
      <c r="D2409" s="131" t="s">
        <v>2190</v>
      </c>
      <c r="E2409" s="83" t="s">
        <v>2191</v>
      </c>
      <c r="F2409" s="81" t="s">
        <v>210</v>
      </c>
      <c r="G2409" s="80">
        <v>-21.6</v>
      </c>
      <c r="H2409" s="85"/>
      <c r="I2409" s="86">
        <v>-3387.36</v>
      </c>
      <c r="J2409" s="185">
        <f t="shared" si="230"/>
        <v>178.56</v>
      </c>
      <c r="K2409" s="189">
        <f t="shared" si="229"/>
        <v>-3856.9</v>
      </c>
      <c r="L2409" s="189"/>
      <c r="M2409" s="138"/>
      <c r="N2409" s="138"/>
      <c r="O2409" s="138"/>
      <c r="S2409" s="72"/>
      <c r="T2409" s="72"/>
      <c r="U2409" s="72"/>
      <c r="V2409" s="72"/>
    </row>
    <row r="2410" spans="1:22" s="63" customFormat="1" ht="15" x14ac:dyDescent="0.25">
      <c r="A2410" s="87">
        <v>17.46</v>
      </c>
      <c r="B2410" s="81" t="s">
        <v>65</v>
      </c>
      <c r="C2410" s="80">
        <v>20.2</v>
      </c>
      <c r="D2410" s="131" t="s">
        <v>2192</v>
      </c>
      <c r="E2410" s="83" t="s">
        <v>3956</v>
      </c>
      <c r="F2410" s="81" t="s">
        <v>219</v>
      </c>
      <c r="G2410" s="82">
        <v>30</v>
      </c>
      <c r="H2410" s="85"/>
      <c r="I2410" s="86">
        <v>16753.189999999999</v>
      </c>
      <c r="J2410" s="185">
        <f t="shared" si="230"/>
        <v>635.84</v>
      </c>
      <c r="K2410" s="189">
        <f t="shared" si="229"/>
        <v>19075.2</v>
      </c>
      <c r="L2410" s="189"/>
      <c r="M2410" s="138"/>
      <c r="N2410" s="138"/>
      <c r="O2410" s="138"/>
      <c r="S2410" s="72"/>
      <c r="T2410" s="72"/>
      <c r="U2410" s="72"/>
      <c r="V2410" s="72"/>
    </row>
    <row r="2411" spans="1:22" s="63" customFormat="1" ht="15" x14ac:dyDescent="0.25">
      <c r="A2411" s="87">
        <v>17.47</v>
      </c>
      <c r="B2411" s="81" t="s">
        <v>65</v>
      </c>
      <c r="C2411" s="82">
        <v>21</v>
      </c>
      <c r="D2411" s="131" t="s">
        <v>1364</v>
      </c>
      <c r="E2411" s="83" t="s">
        <v>1365</v>
      </c>
      <c r="F2411" s="81" t="s">
        <v>354</v>
      </c>
      <c r="G2411" s="80">
        <v>3.5</v>
      </c>
      <c r="H2411" s="85"/>
      <c r="I2411" s="86">
        <v>58966.49</v>
      </c>
      <c r="J2411" s="185">
        <f t="shared" si="230"/>
        <v>19182.64</v>
      </c>
      <c r="K2411" s="189">
        <f t="shared" si="229"/>
        <v>67139.240000000005</v>
      </c>
      <c r="L2411" s="189"/>
      <c r="M2411" s="138"/>
      <c r="N2411" s="138"/>
      <c r="O2411" s="138"/>
      <c r="S2411" s="72"/>
      <c r="T2411" s="72"/>
      <c r="U2411" s="72"/>
      <c r="V2411" s="72"/>
    </row>
    <row r="2412" spans="1:22" s="63" customFormat="1" ht="33.75" x14ac:dyDescent="0.25">
      <c r="A2412" s="87">
        <v>17.48</v>
      </c>
      <c r="B2412" s="81" t="s">
        <v>65</v>
      </c>
      <c r="C2412" s="80">
        <v>21.1</v>
      </c>
      <c r="D2412" s="131" t="s">
        <v>2193</v>
      </c>
      <c r="E2412" s="83" t="s">
        <v>2194</v>
      </c>
      <c r="F2412" s="81" t="s">
        <v>772</v>
      </c>
      <c r="G2412" s="80">
        <v>35.700000000000003</v>
      </c>
      <c r="H2412" s="85"/>
      <c r="I2412" s="86">
        <v>10873.65</v>
      </c>
      <c r="J2412" s="185">
        <f t="shared" si="230"/>
        <v>346.8</v>
      </c>
      <c r="K2412" s="189">
        <f t="shared" si="229"/>
        <v>12380.76</v>
      </c>
      <c r="L2412" s="189"/>
      <c r="M2412" s="138"/>
      <c r="N2412" s="138"/>
      <c r="O2412" s="138"/>
      <c r="S2412" s="72"/>
      <c r="T2412" s="72"/>
      <c r="U2412" s="72"/>
      <c r="V2412" s="72"/>
    </row>
    <row r="2413" spans="1:22" s="63" customFormat="1" ht="15" x14ac:dyDescent="0.25">
      <c r="A2413" s="87">
        <v>17.489999999999998</v>
      </c>
      <c r="B2413" s="81" t="s">
        <v>65</v>
      </c>
      <c r="C2413" s="82">
        <v>22</v>
      </c>
      <c r="D2413" s="131" t="s">
        <v>2150</v>
      </c>
      <c r="E2413" s="83" t="s">
        <v>2151</v>
      </c>
      <c r="F2413" s="81" t="s">
        <v>219</v>
      </c>
      <c r="G2413" s="82">
        <v>1</v>
      </c>
      <c r="H2413" s="85"/>
      <c r="I2413" s="86">
        <v>1225.3900000000001</v>
      </c>
      <c r="J2413" s="185">
        <f t="shared" si="230"/>
        <v>1395.23</v>
      </c>
      <c r="K2413" s="189">
        <f t="shared" si="229"/>
        <v>1395.23</v>
      </c>
      <c r="L2413" s="189"/>
      <c r="M2413" s="138"/>
      <c r="N2413" s="138"/>
      <c r="O2413" s="138"/>
      <c r="S2413" s="72"/>
      <c r="T2413" s="72"/>
      <c r="U2413" s="72"/>
      <c r="V2413" s="72"/>
    </row>
    <row r="2414" spans="1:22" s="63" customFormat="1" ht="22.5" x14ac:dyDescent="0.25">
      <c r="A2414" s="101">
        <v>17.5</v>
      </c>
      <c r="B2414" s="102" t="s">
        <v>65</v>
      </c>
      <c r="C2414" s="103">
        <v>22.1</v>
      </c>
      <c r="D2414" s="167" t="s">
        <v>2195</v>
      </c>
      <c r="E2414" s="104" t="s">
        <v>3957</v>
      </c>
      <c r="F2414" s="102" t="s">
        <v>219</v>
      </c>
      <c r="G2414" s="105">
        <v>1</v>
      </c>
      <c r="H2414" s="106"/>
      <c r="I2414" s="107">
        <v>8586.26</v>
      </c>
      <c r="J2414" s="192">
        <f>ROUND($I2414/$G2414*$N$12,2)</f>
        <v>9603.73</v>
      </c>
      <c r="K2414" s="193">
        <f t="shared" si="229"/>
        <v>9603.73</v>
      </c>
      <c r="L2414" s="193"/>
      <c r="M2414" s="138"/>
      <c r="N2414" s="138"/>
      <c r="O2414" s="138"/>
      <c r="S2414" s="72"/>
      <c r="T2414" s="72"/>
      <c r="U2414" s="72"/>
      <c r="V2414" s="72"/>
    </row>
    <row r="2415" spans="1:22" s="63" customFormat="1" ht="22.5" x14ac:dyDescent="0.25">
      <c r="A2415" s="87">
        <v>17.510000000000002</v>
      </c>
      <c r="B2415" s="81" t="s">
        <v>65</v>
      </c>
      <c r="C2415" s="82">
        <v>23</v>
      </c>
      <c r="D2415" s="131" t="s">
        <v>2196</v>
      </c>
      <c r="E2415" s="83" t="s">
        <v>2197</v>
      </c>
      <c r="F2415" s="81" t="s">
        <v>219</v>
      </c>
      <c r="G2415" s="82">
        <v>1</v>
      </c>
      <c r="H2415" s="85"/>
      <c r="I2415" s="86">
        <v>6560.11</v>
      </c>
      <c r="J2415" s="185">
        <f>ROUND($I2415/$G2415*$N$11,2)</f>
        <v>7469.34</v>
      </c>
      <c r="K2415" s="189">
        <f t="shared" si="229"/>
        <v>7469.34</v>
      </c>
      <c r="L2415" s="189"/>
      <c r="M2415" s="138"/>
      <c r="N2415" s="138"/>
      <c r="O2415" s="138"/>
      <c r="S2415" s="72"/>
      <c r="T2415" s="72"/>
      <c r="U2415" s="72"/>
      <c r="V2415" s="72"/>
    </row>
    <row r="2416" spans="1:22" s="63" customFormat="1" ht="22.5" x14ac:dyDescent="0.25">
      <c r="A2416" s="101">
        <v>17.52</v>
      </c>
      <c r="B2416" s="102" t="s">
        <v>65</v>
      </c>
      <c r="C2416" s="103">
        <v>23.1</v>
      </c>
      <c r="D2416" s="167" t="s">
        <v>2198</v>
      </c>
      <c r="E2416" s="104" t="s">
        <v>3958</v>
      </c>
      <c r="F2416" s="102" t="s">
        <v>219</v>
      </c>
      <c r="G2416" s="105">
        <v>1</v>
      </c>
      <c r="H2416" s="106"/>
      <c r="I2416" s="107">
        <v>22376.07</v>
      </c>
      <c r="J2416" s="192">
        <f>ROUND($I2416/$G2416*$N$12,2)</f>
        <v>25027.63</v>
      </c>
      <c r="K2416" s="193">
        <f t="shared" si="229"/>
        <v>25027.63</v>
      </c>
      <c r="L2416" s="193"/>
      <c r="M2416" s="138"/>
      <c r="N2416" s="138"/>
      <c r="O2416" s="138"/>
      <c r="S2416" s="72"/>
      <c r="T2416" s="72"/>
      <c r="U2416" s="72"/>
      <c r="V2416" s="72"/>
    </row>
    <row r="2417" spans="1:22" s="63" customFormat="1" ht="22.5" x14ac:dyDescent="0.25">
      <c r="A2417" s="87">
        <v>17.53</v>
      </c>
      <c r="B2417" s="81" t="s">
        <v>65</v>
      </c>
      <c r="C2417" s="82">
        <v>24</v>
      </c>
      <c r="D2417" s="131" t="s">
        <v>2199</v>
      </c>
      <c r="E2417" s="83" t="s">
        <v>2200</v>
      </c>
      <c r="F2417" s="81" t="s">
        <v>219</v>
      </c>
      <c r="G2417" s="82">
        <v>8</v>
      </c>
      <c r="H2417" s="85"/>
      <c r="I2417" s="86">
        <v>185286.47</v>
      </c>
      <c r="J2417" s="185">
        <f>ROUND($I2417/$G2417*$N$11,2)</f>
        <v>26370.9</v>
      </c>
      <c r="K2417" s="189">
        <f t="shared" si="229"/>
        <v>210967.2</v>
      </c>
      <c r="L2417" s="189"/>
      <c r="M2417" s="138"/>
      <c r="N2417" s="138"/>
      <c r="O2417" s="138"/>
      <c r="S2417" s="72"/>
      <c r="T2417" s="72"/>
      <c r="U2417" s="72"/>
      <c r="V2417" s="72"/>
    </row>
    <row r="2418" spans="1:22" s="63" customFormat="1" ht="22.5" x14ac:dyDescent="0.25">
      <c r="A2418" s="101">
        <v>17.54</v>
      </c>
      <c r="B2418" s="102" t="s">
        <v>65</v>
      </c>
      <c r="C2418" s="103">
        <v>24.1</v>
      </c>
      <c r="D2418" s="167" t="s">
        <v>2201</v>
      </c>
      <c r="E2418" s="104" t="s">
        <v>3959</v>
      </c>
      <c r="F2418" s="102" t="s">
        <v>219</v>
      </c>
      <c r="G2418" s="105">
        <v>5</v>
      </c>
      <c r="H2418" s="106"/>
      <c r="I2418" s="107">
        <v>11685.31</v>
      </c>
      <c r="J2418" s="192">
        <f>ROUND($I2418/$G2418*$N$12,2)</f>
        <v>2614</v>
      </c>
      <c r="K2418" s="193">
        <f t="shared" si="229"/>
        <v>13070</v>
      </c>
      <c r="L2418" s="193"/>
      <c r="M2418" s="138"/>
      <c r="N2418" s="138"/>
      <c r="O2418" s="138"/>
      <c r="S2418" s="72"/>
      <c r="T2418" s="72"/>
      <c r="U2418" s="72"/>
      <c r="V2418" s="72"/>
    </row>
    <row r="2419" spans="1:22" s="63" customFormat="1" ht="33.75" x14ac:dyDescent="0.25">
      <c r="A2419" s="101">
        <v>17.55</v>
      </c>
      <c r="B2419" s="102" t="s">
        <v>65</v>
      </c>
      <c r="C2419" s="103">
        <v>24.2</v>
      </c>
      <c r="D2419" s="167" t="s">
        <v>2202</v>
      </c>
      <c r="E2419" s="104" t="s">
        <v>3960</v>
      </c>
      <c r="F2419" s="102" t="s">
        <v>2203</v>
      </c>
      <c r="G2419" s="105">
        <v>3</v>
      </c>
      <c r="H2419" s="106"/>
      <c r="I2419" s="107">
        <v>92945.7</v>
      </c>
      <c r="J2419" s="192">
        <f>ROUND($I2419/$G2419*$N$12,2)</f>
        <v>34653.26</v>
      </c>
      <c r="K2419" s="193">
        <f t="shared" si="229"/>
        <v>103959.78</v>
      </c>
      <c r="L2419" s="193"/>
      <c r="M2419" s="138"/>
      <c r="N2419" s="138"/>
      <c r="O2419" s="138"/>
      <c r="S2419" s="72"/>
      <c r="T2419" s="72"/>
      <c r="U2419" s="72"/>
      <c r="V2419" s="72"/>
    </row>
    <row r="2420" spans="1:22" s="275" customFormat="1" ht="12.75" x14ac:dyDescent="0.25">
      <c r="A2420" s="273"/>
      <c r="B2420" s="263"/>
      <c r="C2420" s="262"/>
      <c r="D2420" s="219"/>
      <c r="E2420" s="248" t="s">
        <v>3345</v>
      </c>
      <c r="F2420" s="263"/>
      <c r="G2420" s="216"/>
      <c r="H2420" s="264"/>
      <c r="I2420" s="221"/>
      <c r="J2420" s="265"/>
      <c r="K2420" s="266"/>
      <c r="L2420" s="266"/>
      <c r="M2420" s="274"/>
      <c r="N2420" s="274"/>
      <c r="O2420" s="274"/>
      <c r="S2420" s="276"/>
      <c r="T2420" s="276"/>
      <c r="U2420" s="276"/>
      <c r="V2420" s="276"/>
    </row>
    <row r="2421" spans="1:22" s="63" customFormat="1" ht="22.5" x14ac:dyDescent="0.25">
      <c r="A2421" s="87">
        <v>17.559999999999999</v>
      </c>
      <c r="B2421" s="81" t="s">
        <v>65</v>
      </c>
      <c r="C2421" s="82">
        <v>25</v>
      </c>
      <c r="D2421" s="131" t="s">
        <v>1056</v>
      </c>
      <c r="E2421" s="83" t="s">
        <v>1057</v>
      </c>
      <c r="F2421" s="81" t="s">
        <v>219</v>
      </c>
      <c r="G2421" s="82">
        <v>416</v>
      </c>
      <c r="H2421" s="85"/>
      <c r="I2421" s="86">
        <v>108960.78</v>
      </c>
      <c r="J2421" s="185">
        <f t="shared" ref="J2421:J2431" si="231">ROUND($I2421/$G2421*$N$11,2)</f>
        <v>298.23</v>
      </c>
      <c r="K2421" s="189">
        <f t="shared" ref="K2421:K2431" si="232">ROUND(G2421*J2421,2)</f>
        <v>124063.67999999999</v>
      </c>
      <c r="L2421" s="189"/>
      <c r="M2421" s="138"/>
      <c r="N2421" s="138"/>
      <c r="O2421" s="138"/>
      <c r="S2421" s="72"/>
      <c r="T2421" s="72"/>
      <c r="U2421" s="72"/>
      <c r="V2421" s="72"/>
    </row>
    <row r="2422" spans="1:22" s="63" customFormat="1" ht="15" x14ac:dyDescent="0.25">
      <c r="A2422" s="87">
        <v>17.57</v>
      </c>
      <c r="B2422" s="81" t="s">
        <v>65</v>
      </c>
      <c r="C2422" s="82">
        <v>26</v>
      </c>
      <c r="D2422" s="131" t="s">
        <v>1058</v>
      </c>
      <c r="E2422" s="83" t="s">
        <v>1059</v>
      </c>
      <c r="F2422" s="81" t="s">
        <v>216</v>
      </c>
      <c r="G2422" s="87">
        <v>4.16</v>
      </c>
      <c r="H2422" s="85"/>
      <c r="I2422" s="86">
        <v>39738.239999999998</v>
      </c>
      <c r="J2422" s="185">
        <f t="shared" si="231"/>
        <v>10876.43</v>
      </c>
      <c r="K2422" s="189">
        <f t="shared" si="232"/>
        <v>45245.95</v>
      </c>
      <c r="L2422" s="189"/>
      <c r="M2422" s="138"/>
      <c r="N2422" s="138"/>
      <c r="O2422" s="138"/>
      <c r="S2422" s="72"/>
      <c r="T2422" s="72"/>
      <c r="U2422" s="72"/>
      <c r="V2422" s="72"/>
    </row>
    <row r="2423" spans="1:22" s="63" customFormat="1" ht="33.75" x14ac:dyDescent="0.25">
      <c r="A2423" s="87">
        <v>17.579999999999998</v>
      </c>
      <c r="B2423" s="81" t="s">
        <v>65</v>
      </c>
      <c r="C2423" s="82">
        <v>27</v>
      </c>
      <c r="D2423" s="131" t="s">
        <v>2123</v>
      </c>
      <c r="E2423" s="83" t="s">
        <v>2124</v>
      </c>
      <c r="F2423" s="81" t="s">
        <v>354</v>
      </c>
      <c r="G2423" s="80">
        <v>3.7</v>
      </c>
      <c r="H2423" s="85"/>
      <c r="I2423" s="86">
        <v>16714.97</v>
      </c>
      <c r="J2423" s="185">
        <f t="shared" si="231"/>
        <v>5143.6899999999996</v>
      </c>
      <c r="K2423" s="189">
        <f t="shared" si="232"/>
        <v>19031.650000000001</v>
      </c>
      <c r="L2423" s="189"/>
      <c r="M2423" s="138"/>
      <c r="N2423" s="138"/>
      <c r="O2423" s="138"/>
      <c r="S2423" s="72"/>
      <c r="T2423" s="72"/>
      <c r="U2423" s="72"/>
      <c r="V2423" s="72"/>
    </row>
    <row r="2424" spans="1:22" s="63" customFormat="1" ht="22.5" x14ac:dyDescent="0.25">
      <c r="A2424" s="87">
        <v>17.59</v>
      </c>
      <c r="B2424" s="81" t="s">
        <v>65</v>
      </c>
      <c r="C2424" s="80">
        <v>27.1</v>
      </c>
      <c r="D2424" s="131" t="s">
        <v>1064</v>
      </c>
      <c r="E2424" s="83" t="s">
        <v>2204</v>
      </c>
      <c r="F2424" s="81" t="s">
        <v>334</v>
      </c>
      <c r="G2424" s="82">
        <v>765</v>
      </c>
      <c r="H2424" s="85"/>
      <c r="I2424" s="86">
        <v>22784.75</v>
      </c>
      <c r="J2424" s="185">
        <f t="shared" si="231"/>
        <v>33.909999999999997</v>
      </c>
      <c r="K2424" s="189">
        <f t="shared" si="232"/>
        <v>25941.15</v>
      </c>
      <c r="L2424" s="189"/>
      <c r="M2424" s="138"/>
      <c r="N2424" s="138"/>
      <c r="O2424" s="138"/>
      <c r="S2424" s="72"/>
      <c r="T2424" s="72"/>
      <c r="U2424" s="72"/>
      <c r="V2424" s="72"/>
    </row>
    <row r="2425" spans="1:22" s="63" customFormat="1" ht="15" x14ac:dyDescent="0.25">
      <c r="A2425" s="87">
        <v>17.600000000000001</v>
      </c>
      <c r="B2425" s="81" t="s">
        <v>65</v>
      </c>
      <c r="C2425" s="82">
        <v>28</v>
      </c>
      <c r="D2425" s="131" t="s">
        <v>1048</v>
      </c>
      <c r="E2425" s="83" t="s">
        <v>1049</v>
      </c>
      <c r="F2425" s="81" t="s">
        <v>354</v>
      </c>
      <c r="G2425" s="87">
        <v>17.13</v>
      </c>
      <c r="H2425" s="85"/>
      <c r="I2425" s="86">
        <v>49677.27</v>
      </c>
      <c r="J2425" s="185">
        <f t="shared" si="231"/>
        <v>3301.96</v>
      </c>
      <c r="K2425" s="189">
        <f t="shared" si="232"/>
        <v>56562.57</v>
      </c>
      <c r="L2425" s="189"/>
      <c r="M2425" s="138"/>
      <c r="N2425" s="138"/>
      <c r="O2425" s="138"/>
      <c r="S2425" s="72"/>
      <c r="T2425" s="72"/>
      <c r="U2425" s="72"/>
      <c r="V2425" s="72"/>
    </row>
    <row r="2426" spans="1:22" s="63" customFormat="1" ht="22.5" x14ac:dyDescent="0.25">
      <c r="A2426" s="87">
        <v>17.61</v>
      </c>
      <c r="B2426" s="81" t="s">
        <v>65</v>
      </c>
      <c r="C2426" s="80">
        <v>28.1</v>
      </c>
      <c r="D2426" s="131" t="s">
        <v>1062</v>
      </c>
      <c r="E2426" s="83" t="s">
        <v>3961</v>
      </c>
      <c r="F2426" s="81" t="s">
        <v>334</v>
      </c>
      <c r="G2426" s="87">
        <v>18.36</v>
      </c>
      <c r="H2426" s="85"/>
      <c r="I2426" s="86">
        <v>1012.94</v>
      </c>
      <c r="J2426" s="185">
        <f t="shared" si="231"/>
        <v>62.82</v>
      </c>
      <c r="K2426" s="189">
        <f t="shared" si="232"/>
        <v>1153.3800000000001</v>
      </c>
      <c r="L2426" s="189"/>
      <c r="M2426" s="138"/>
      <c r="N2426" s="138"/>
      <c r="O2426" s="138"/>
      <c r="S2426" s="72"/>
      <c r="T2426" s="72"/>
      <c r="U2426" s="72"/>
      <c r="V2426" s="72"/>
    </row>
    <row r="2427" spans="1:22" s="63" customFormat="1" ht="22.5" x14ac:dyDescent="0.25">
      <c r="A2427" s="87">
        <v>17.62</v>
      </c>
      <c r="B2427" s="81" t="s">
        <v>65</v>
      </c>
      <c r="C2427" s="80">
        <v>28.2</v>
      </c>
      <c r="D2427" s="131" t="s">
        <v>1063</v>
      </c>
      <c r="E2427" s="83" t="s">
        <v>3962</v>
      </c>
      <c r="F2427" s="81" t="s">
        <v>334</v>
      </c>
      <c r="G2427" s="82">
        <v>1428</v>
      </c>
      <c r="H2427" s="85"/>
      <c r="I2427" s="86">
        <v>28854.49</v>
      </c>
      <c r="J2427" s="185">
        <f t="shared" si="231"/>
        <v>23.01</v>
      </c>
      <c r="K2427" s="189">
        <f t="shared" si="232"/>
        <v>32858.28</v>
      </c>
      <c r="L2427" s="189"/>
      <c r="M2427" s="138"/>
      <c r="N2427" s="138"/>
      <c r="O2427" s="138"/>
      <c r="S2427" s="72"/>
      <c r="T2427" s="72"/>
      <c r="U2427" s="72"/>
      <c r="V2427" s="72"/>
    </row>
    <row r="2428" spans="1:22" s="63" customFormat="1" ht="22.5" x14ac:dyDescent="0.25">
      <c r="A2428" s="87">
        <v>17.63</v>
      </c>
      <c r="B2428" s="81" t="s">
        <v>65</v>
      </c>
      <c r="C2428" s="82">
        <v>29</v>
      </c>
      <c r="D2428" s="131" t="s">
        <v>1052</v>
      </c>
      <c r="E2428" s="83" t="s">
        <v>1053</v>
      </c>
      <c r="F2428" s="81" t="s">
        <v>354</v>
      </c>
      <c r="G2428" s="80">
        <v>0.9</v>
      </c>
      <c r="H2428" s="85"/>
      <c r="I2428" s="86">
        <v>19948.669999999998</v>
      </c>
      <c r="J2428" s="185">
        <f t="shared" si="231"/>
        <v>25237.279999999999</v>
      </c>
      <c r="K2428" s="189">
        <f t="shared" si="232"/>
        <v>22713.55</v>
      </c>
      <c r="L2428" s="189"/>
      <c r="M2428" s="138"/>
      <c r="N2428" s="138"/>
      <c r="O2428" s="138"/>
      <c r="S2428" s="72"/>
      <c r="T2428" s="72"/>
      <c r="U2428" s="72"/>
      <c r="V2428" s="72"/>
    </row>
    <row r="2429" spans="1:22" s="63" customFormat="1" ht="15" x14ac:dyDescent="0.25">
      <c r="A2429" s="87">
        <v>17.64</v>
      </c>
      <c r="B2429" s="81" t="s">
        <v>65</v>
      </c>
      <c r="C2429" s="80">
        <v>29.1</v>
      </c>
      <c r="D2429" s="131" t="s">
        <v>2205</v>
      </c>
      <c r="E2429" s="83" t="s">
        <v>3963</v>
      </c>
      <c r="F2429" s="81" t="s">
        <v>334</v>
      </c>
      <c r="G2429" s="80">
        <v>5.0999999999999996</v>
      </c>
      <c r="H2429" s="85"/>
      <c r="I2429" s="86">
        <v>129.74</v>
      </c>
      <c r="J2429" s="185">
        <f t="shared" si="231"/>
        <v>28.97</v>
      </c>
      <c r="K2429" s="189">
        <f t="shared" si="232"/>
        <v>147.75</v>
      </c>
      <c r="L2429" s="189"/>
      <c r="M2429" s="138"/>
      <c r="N2429" s="138"/>
      <c r="O2429" s="138"/>
      <c r="S2429" s="72"/>
      <c r="T2429" s="72"/>
      <c r="U2429" s="72"/>
      <c r="V2429" s="72"/>
    </row>
    <row r="2430" spans="1:22" s="63" customFormat="1" ht="33.75" x14ac:dyDescent="0.25">
      <c r="A2430" s="87">
        <v>17.649999999999999</v>
      </c>
      <c r="B2430" s="81" t="s">
        <v>65</v>
      </c>
      <c r="C2430" s="82">
        <v>30</v>
      </c>
      <c r="D2430" s="131" t="s">
        <v>2206</v>
      </c>
      <c r="E2430" s="83" t="s">
        <v>2207</v>
      </c>
      <c r="F2430" s="81" t="s">
        <v>354</v>
      </c>
      <c r="G2430" s="87">
        <v>1.45</v>
      </c>
      <c r="H2430" s="85"/>
      <c r="I2430" s="86">
        <v>23187.06</v>
      </c>
      <c r="J2430" s="185">
        <f t="shared" si="231"/>
        <v>18207.439999999999</v>
      </c>
      <c r="K2430" s="189">
        <f t="shared" si="232"/>
        <v>26400.79</v>
      </c>
      <c r="L2430" s="189"/>
      <c r="M2430" s="138"/>
      <c r="N2430" s="138"/>
      <c r="O2430" s="138"/>
      <c r="S2430" s="72"/>
      <c r="T2430" s="72"/>
      <c r="U2430" s="72"/>
      <c r="V2430" s="72"/>
    </row>
    <row r="2431" spans="1:22" s="63" customFormat="1" ht="22.5" x14ac:dyDescent="0.25">
      <c r="A2431" s="87">
        <v>17.66</v>
      </c>
      <c r="B2431" s="81" t="s">
        <v>65</v>
      </c>
      <c r="C2431" s="80">
        <v>30.1</v>
      </c>
      <c r="D2431" s="131" t="s">
        <v>2208</v>
      </c>
      <c r="E2431" s="83" t="s">
        <v>3964</v>
      </c>
      <c r="F2431" s="81" t="s">
        <v>334</v>
      </c>
      <c r="G2431" s="80">
        <v>147.9</v>
      </c>
      <c r="H2431" s="85"/>
      <c r="I2431" s="86">
        <v>122475.62</v>
      </c>
      <c r="J2431" s="185">
        <f t="shared" si="231"/>
        <v>942.87</v>
      </c>
      <c r="K2431" s="189">
        <f t="shared" si="232"/>
        <v>139450.47</v>
      </c>
      <c r="L2431" s="189"/>
      <c r="M2431" s="138"/>
      <c r="N2431" s="138"/>
      <c r="O2431" s="138"/>
      <c r="S2431" s="72"/>
      <c r="T2431" s="72"/>
      <c r="U2431" s="72"/>
      <c r="V2431" s="72"/>
    </row>
    <row r="2432" spans="1:22" s="128" customFormat="1" ht="12.75" x14ac:dyDescent="0.25">
      <c r="A2432" s="237"/>
      <c r="B2432" s="125"/>
      <c r="C2432" s="236"/>
      <c r="D2432" s="77"/>
      <c r="E2432" s="126" t="s">
        <v>3346</v>
      </c>
      <c r="F2432" s="125"/>
      <c r="G2432" s="236"/>
      <c r="H2432" s="127"/>
      <c r="I2432" s="78"/>
      <c r="J2432" s="238"/>
      <c r="K2432" s="239"/>
      <c r="L2432" s="239"/>
      <c r="M2432" s="79"/>
      <c r="N2432" s="79"/>
      <c r="O2432" s="79"/>
      <c r="S2432" s="129"/>
      <c r="T2432" s="129"/>
      <c r="U2432" s="129"/>
      <c r="V2432" s="129"/>
    </row>
    <row r="2433" spans="1:22" s="63" customFormat="1" ht="22.5" x14ac:dyDescent="0.25">
      <c r="A2433" s="101">
        <v>17.670000000000002</v>
      </c>
      <c r="B2433" s="102" t="s">
        <v>65</v>
      </c>
      <c r="C2433" s="105">
        <v>31</v>
      </c>
      <c r="D2433" s="167" t="s">
        <v>2163</v>
      </c>
      <c r="E2433" s="104" t="s">
        <v>3944</v>
      </c>
      <c r="F2433" s="102" t="s">
        <v>219</v>
      </c>
      <c r="G2433" s="105">
        <v>19</v>
      </c>
      <c r="H2433" s="106"/>
      <c r="I2433" s="107">
        <v>16378.01</v>
      </c>
      <c r="J2433" s="192">
        <f>ROUND($I2433/$G2433*$N$12,2)</f>
        <v>964.15</v>
      </c>
      <c r="K2433" s="193">
        <f>ROUND(G2433*J2433,2)</f>
        <v>18318.849999999999</v>
      </c>
      <c r="L2433" s="193"/>
      <c r="M2433" s="138"/>
      <c r="N2433" s="138"/>
      <c r="O2433" s="138"/>
      <c r="S2433" s="72"/>
      <c r="T2433" s="72"/>
      <c r="U2433" s="72"/>
      <c r="V2433" s="72"/>
    </row>
    <row r="2434" spans="1:22" s="63" customFormat="1" ht="15" x14ac:dyDescent="0.25">
      <c r="A2434" s="101">
        <v>17.68</v>
      </c>
      <c r="B2434" s="102" t="s">
        <v>65</v>
      </c>
      <c r="C2434" s="105">
        <v>32</v>
      </c>
      <c r="D2434" s="167" t="s">
        <v>2164</v>
      </c>
      <c r="E2434" s="104" t="s">
        <v>3945</v>
      </c>
      <c r="F2434" s="102" t="s">
        <v>219</v>
      </c>
      <c r="G2434" s="105">
        <v>1</v>
      </c>
      <c r="H2434" s="106"/>
      <c r="I2434" s="107">
        <v>867.42</v>
      </c>
      <c r="J2434" s="192">
        <f>ROUND($I2434/$G2434*$N$12,2)</f>
        <v>970.21</v>
      </c>
      <c r="K2434" s="193">
        <f>ROUND(G2434*J2434,2)</f>
        <v>970.21</v>
      </c>
      <c r="L2434" s="193"/>
      <c r="M2434" s="138"/>
      <c r="N2434" s="138"/>
      <c r="O2434" s="138"/>
      <c r="S2434" s="72"/>
      <c r="T2434" s="72"/>
      <c r="U2434" s="72"/>
      <c r="V2434" s="72"/>
    </row>
    <row r="2435" spans="1:22" s="63" customFormat="1" ht="15" x14ac:dyDescent="0.25">
      <c r="A2435" s="101">
        <v>17.690000000000001</v>
      </c>
      <c r="B2435" s="102" t="s">
        <v>65</v>
      </c>
      <c r="C2435" s="105">
        <v>33</v>
      </c>
      <c r="D2435" s="167" t="s">
        <v>2166</v>
      </c>
      <c r="E2435" s="104" t="s">
        <v>3946</v>
      </c>
      <c r="F2435" s="102" t="s">
        <v>219</v>
      </c>
      <c r="G2435" s="105">
        <v>2</v>
      </c>
      <c r="H2435" s="106"/>
      <c r="I2435" s="107">
        <v>1204.43</v>
      </c>
      <c r="J2435" s="192">
        <f>ROUND($I2435/$G2435*$N$12,2)</f>
        <v>673.58</v>
      </c>
      <c r="K2435" s="193">
        <f>ROUND(G2435*J2435,2)</f>
        <v>1347.16</v>
      </c>
      <c r="L2435" s="193"/>
      <c r="M2435" s="138"/>
      <c r="N2435" s="138"/>
      <c r="O2435" s="138"/>
      <c r="S2435" s="72"/>
      <c r="T2435" s="72"/>
      <c r="U2435" s="72"/>
      <c r="V2435" s="72"/>
    </row>
    <row r="2436" spans="1:22" s="63" customFormat="1" ht="15" x14ac:dyDescent="0.25">
      <c r="A2436" s="194">
        <v>18</v>
      </c>
      <c r="B2436" s="418" t="s">
        <v>2209</v>
      </c>
      <c r="C2436" s="418"/>
      <c r="D2436" s="418"/>
      <c r="E2436" s="195" t="s">
        <v>68</v>
      </c>
      <c r="F2436" s="196"/>
      <c r="G2436" s="194"/>
      <c r="H2436" s="197">
        <v>2062842.99</v>
      </c>
      <c r="I2436" s="355">
        <f>SUM(I2439:I2515)</f>
        <v>2062843.03</v>
      </c>
      <c r="J2436" s="200"/>
      <c r="K2436" s="198">
        <f>SUM(K2439:K2515)</f>
        <v>2331553.6700000009</v>
      </c>
      <c r="L2436" s="198"/>
      <c r="M2436" s="207"/>
      <c r="N2436" s="209"/>
      <c r="O2436" s="138"/>
      <c r="S2436" s="72"/>
      <c r="T2436" s="72"/>
      <c r="U2436" s="72"/>
      <c r="V2436" s="72"/>
    </row>
    <row r="2437" spans="1:22" s="63" customFormat="1" ht="15" x14ac:dyDescent="0.25">
      <c r="A2437" s="91"/>
      <c r="B2437" s="92"/>
      <c r="C2437" s="92"/>
      <c r="D2437" s="166"/>
      <c r="E2437" s="93" t="s">
        <v>651</v>
      </c>
      <c r="F2437" s="94"/>
      <c r="G2437" s="91"/>
      <c r="H2437" s="95"/>
      <c r="I2437" s="96">
        <f>I2442+I2443+I2444+I2445+I2446+I2450+I2451+I2453+I2455+I2460+I2462+I2465+I2466+I2467+I2468+I2472+I2473+I2476+I2483+I2484</f>
        <v>855996.69999999984</v>
      </c>
      <c r="J2437" s="191"/>
      <c r="K2437" s="96">
        <f>K2442+K2443+K2444+K2445+K2446+K2450+K2451+K2453+K2455+K2460+K2462+K2465+K2466+K2467+K2468+K2472+K2473+K2476+K2483+K2484</f>
        <v>957432.15</v>
      </c>
      <c r="L2437" s="96"/>
      <c r="M2437" s="207"/>
      <c r="N2437" s="209"/>
      <c r="O2437" s="138"/>
      <c r="S2437" s="72"/>
      <c r="T2437" s="72"/>
      <c r="U2437" s="72"/>
      <c r="V2437" s="72"/>
    </row>
    <row r="2438" spans="1:22" s="278" customFormat="1" ht="15" x14ac:dyDescent="0.25">
      <c r="A2438" s="216"/>
      <c r="B2438" s="217"/>
      <c r="C2438" s="217"/>
      <c r="D2438" s="248"/>
      <c r="E2438" s="218" t="s">
        <v>3347</v>
      </c>
      <c r="F2438" s="219"/>
      <c r="G2438" s="216"/>
      <c r="H2438" s="220"/>
      <c r="I2438" s="221"/>
      <c r="J2438" s="244"/>
      <c r="K2438" s="221"/>
      <c r="L2438" s="221"/>
      <c r="M2438" s="222"/>
      <c r="N2438" s="223"/>
      <c r="O2438" s="245"/>
      <c r="S2438" s="225"/>
      <c r="T2438" s="225"/>
      <c r="U2438" s="225"/>
      <c r="V2438" s="225"/>
    </row>
    <row r="2439" spans="1:22" s="63" customFormat="1" ht="15" x14ac:dyDescent="0.25">
      <c r="A2439" s="80">
        <v>18.100000000000001</v>
      </c>
      <c r="B2439" s="81" t="s">
        <v>67</v>
      </c>
      <c r="C2439" s="82">
        <v>1</v>
      </c>
      <c r="D2439" s="131" t="s">
        <v>2210</v>
      </c>
      <c r="E2439" s="83" t="s">
        <v>2211</v>
      </c>
      <c r="F2439" s="81" t="s">
        <v>219</v>
      </c>
      <c r="G2439" s="82">
        <v>1</v>
      </c>
      <c r="H2439" s="85"/>
      <c r="I2439" s="86">
        <f>9189.28+0.03</f>
        <v>9189.3100000000013</v>
      </c>
      <c r="J2439" s="185">
        <f>ROUND($I2439/$G2439*$N$11,2)</f>
        <v>10462.950000000001</v>
      </c>
      <c r="K2439" s="189">
        <f t="shared" ref="K2439:K2457" si="233">ROUND(G2439*J2439,2)</f>
        <v>10462.950000000001</v>
      </c>
      <c r="L2439" s="189"/>
      <c r="M2439" s="138"/>
      <c r="N2439" s="138"/>
      <c r="O2439" s="138"/>
      <c r="S2439" s="72"/>
      <c r="T2439" s="72"/>
      <c r="U2439" s="72"/>
      <c r="V2439" s="72"/>
    </row>
    <row r="2440" spans="1:22" s="63" customFormat="1" ht="15" x14ac:dyDescent="0.25">
      <c r="A2440" s="80">
        <v>18.2</v>
      </c>
      <c r="B2440" s="81" t="s">
        <v>67</v>
      </c>
      <c r="C2440" s="80">
        <v>1.1000000000000001</v>
      </c>
      <c r="D2440" s="131" t="s">
        <v>2212</v>
      </c>
      <c r="E2440" s="83" t="s">
        <v>3965</v>
      </c>
      <c r="F2440" s="81" t="s">
        <v>219</v>
      </c>
      <c r="G2440" s="82">
        <v>1</v>
      </c>
      <c r="H2440" s="85"/>
      <c r="I2440" s="86">
        <v>21613.74</v>
      </c>
      <c r="J2440" s="185">
        <f>ROUND($I2440/$G2440*$N$11,2)</f>
        <v>24609.4</v>
      </c>
      <c r="K2440" s="189">
        <f t="shared" si="233"/>
        <v>24609.4</v>
      </c>
      <c r="L2440" s="189"/>
      <c r="M2440" s="138"/>
      <c r="N2440" s="138"/>
      <c r="O2440" s="138"/>
      <c r="S2440" s="72"/>
      <c r="T2440" s="72"/>
      <c r="U2440" s="72"/>
      <c r="V2440" s="72"/>
    </row>
    <row r="2441" spans="1:22" s="63" customFormat="1" ht="15" x14ac:dyDescent="0.25">
      <c r="A2441" s="80">
        <v>18.3</v>
      </c>
      <c r="B2441" s="81" t="s">
        <v>67</v>
      </c>
      <c r="C2441" s="82">
        <v>2</v>
      </c>
      <c r="D2441" s="131" t="s">
        <v>977</v>
      </c>
      <c r="E2441" s="83" t="s">
        <v>978</v>
      </c>
      <c r="F2441" s="81" t="s">
        <v>219</v>
      </c>
      <c r="G2441" s="82">
        <v>14</v>
      </c>
      <c r="H2441" s="85"/>
      <c r="I2441" s="86">
        <v>13146.68</v>
      </c>
      <c r="J2441" s="185">
        <f>ROUND($I2441/$G2441*$N$11,2)</f>
        <v>1069.2</v>
      </c>
      <c r="K2441" s="189">
        <f t="shared" si="233"/>
        <v>14968.8</v>
      </c>
      <c r="L2441" s="189"/>
      <c r="M2441" s="138"/>
      <c r="N2441" s="138"/>
      <c r="O2441" s="138"/>
      <c r="S2441" s="72"/>
      <c r="T2441" s="72"/>
      <c r="U2441" s="72"/>
      <c r="V2441" s="72"/>
    </row>
    <row r="2442" spans="1:22" s="63" customFormat="1" ht="22.5" x14ac:dyDescent="0.25">
      <c r="A2442" s="103">
        <v>18.399999999999999</v>
      </c>
      <c r="B2442" s="102" t="s">
        <v>67</v>
      </c>
      <c r="C2442" s="103">
        <v>2.1</v>
      </c>
      <c r="D2442" s="167" t="s">
        <v>2213</v>
      </c>
      <c r="E2442" s="104" t="s">
        <v>3966</v>
      </c>
      <c r="F2442" s="102" t="s">
        <v>219</v>
      </c>
      <c r="G2442" s="105">
        <v>1</v>
      </c>
      <c r="H2442" s="106"/>
      <c r="I2442" s="107">
        <f>19037.86+0.01</f>
        <v>19037.87</v>
      </c>
      <c r="J2442" s="192">
        <f>ROUND($I2442/$G2442*$N$12,2)</f>
        <v>21293.86</v>
      </c>
      <c r="K2442" s="193">
        <f t="shared" si="233"/>
        <v>21293.86</v>
      </c>
      <c r="L2442" s="193"/>
      <c r="M2442" s="138"/>
      <c r="N2442" s="138"/>
      <c r="O2442" s="138"/>
      <c r="S2442" s="72"/>
      <c r="T2442" s="72"/>
      <c r="U2442" s="72"/>
      <c r="V2442" s="72"/>
    </row>
    <row r="2443" spans="1:22" s="63" customFormat="1" ht="22.5" x14ac:dyDescent="0.25">
      <c r="A2443" s="103">
        <v>18.5</v>
      </c>
      <c r="B2443" s="102" t="s">
        <v>67</v>
      </c>
      <c r="C2443" s="103">
        <v>2.2000000000000002</v>
      </c>
      <c r="D2443" s="167" t="s">
        <v>2214</v>
      </c>
      <c r="E2443" s="104" t="s">
        <v>3967</v>
      </c>
      <c r="F2443" s="102" t="s">
        <v>219</v>
      </c>
      <c r="G2443" s="105">
        <v>1</v>
      </c>
      <c r="H2443" s="106"/>
      <c r="I2443" s="107">
        <v>652.21</v>
      </c>
      <c r="J2443" s="192">
        <f>ROUND($I2443/$G2443*$N$12,2)</f>
        <v>729.5</v>
      </c>
      <c r="K2443" s="193">
        <f t="shared" si="233"/>
        <v>729.5</v>
      </c>
      <c r="L2443" s="193"/>
      <c r="M2443" s="138"/>
      <c r="N2443" s="138"/>
      <c r="O2443" s="138"/>
      <c r="S2443" s="72"/>
      <c r="T2443" s="72"/>
      <c r="U2443" s="72"/>
      <c r="V2443" s="72"/>
    </row>
    <row r="2444" spans="1:22" s="63" customFormat="1" ht="22.5" x14ac:dyDescent="0.25">
      <c r="A2444" s="103">
        <v>18.600000000000001</v>
      </c>
      <c r="B2444" s="102" t="s">
        <v>67</v>
      </c>
      <c r="C2444" s="103">
        <v>2.2999999999999998</v>
      </c>
      <c r="D2444" s="167" t="s">
        <v>2215</v>
      </c>
      <c r="E2444" s="104" t="s">
        <v>3968</v>
      </c>
      <c r="F2444" s="102" t="s">
        <v>219</v>
      </c>
      <c r="G2444" s="105">
        <v>1</v>
      </c>
      <c r="H2444" s="106"/>
      <c r="I2444" s="107">
        <v>90645.56</v>
      </c>
      <c r="J2444" s="192">
        <f>ROUND($I2444/$G2444*$N$12,2)</f>
        <v>101387.06</v>
      </c>
      <c r="K2444" s="193">
        <f t="shared" si="233"/>
        <v>101387.06</v>
      </c>
      <c r="L2444" s="193"/>
      <c r="M2444" s="138"/>
      <c r="N2444" s="138"/>
      <c r="O2444" s="138"/>
      <c r="S2444" s="72"/>
      <c r="T2444" s="72"/>
      <c r="U2444" s="72"/>
      <c r="V2444" s="72"/>
    </row>
    <row r="2445" spans="1:22" s="63" customFormat="1" ht="22.5" x14ac:dyDescent="0.25">
      <c r="A2445" s="103">
        <v>18.7</v>
      </c>
      <c r="B2445" s="102" t="s">
        <v>67</v>
      </c>
      <c r="C2445" s="103">
        <v>2.4</v>
      </c>
      <c r="D2445" s="167" t="s">
        <v>2216</v>
      </c>
      <c r="E2445" s="104" t="s">
        <v>3969</v>
      </c>
      <c r="F2445" s="102" t="s">
        <v>219</v>
      </c>
      <c r="G2445" s="105">
        <v>1</v>
      </c>
      <c r="H2445" s="106"/>
      <c r="I2445" s="107">
        <v>2842.55</v>
      </c>
      <c r="J2445" s="192">
        <f>ROUND($I2445/$G2445*$N$12,2)</f>
        <v>3179.39</v>
      </c>
      <c r="K2445" s="193">
        <f t="shared" si="233"/>
        <v>3179.39</v>
      </c>
      <c r="L2445" s="193"/>
      <c r="M2445" s="138"/>
      <c r="N2445" s="138"/>
      <c r="O2445" s="138"/>
      <c r="S2445" s="72"/>
      <c r="T2445" s="72"/>
      <c r="U2445" s="72"/>
      <c r="V2445" s="72"/>
    </row>
    <row r="2446" spans="1:22" s="63" customFormat="1" ht="22.5" x14ac:dyDescent="0.25">
      <c r="A2446" s="103">
        <v>18.8</v>
      </c>
      <c r="B2446" s="102" t="s">
        <v>67</v>
      </c>
      <c r="C2446" s="103">
        <v>2.5</v>
      </c>
      <c r="D2446" s="167" t="s">
        <v>2217</v>
      </c>
      <c r="E2446" s="104" t="s">
        <v>3970</v>
      </c>
      <c r="F2446" s="102" t="s">
        <v>219</v>
      </c>
      <c r="G2446" s="105">
        <v>2</v>
      </c>
      <c r="H2446" s="106"/>
      <c r="I2446" s="107">
        <v>5163.53</v>
      </c>
      <c r="J2446" s="192">
        <f>ROUND($I2446/$G2446*$N$12,2)</f>
        <v>2887.7</v>
      </c>
      <c r="K2446" s="193">
        <f t="shared" si="233"/>
        <v>5775.4</v>
      </c>
      <c r="L2446" s="193"/>
      <c r="M2446" s="138"/>
      <c r="N2446" s="138"/>
      <c r="O2446" s="138"/>
      <c r="S2446" s="72"/>
      <c r="T2446" s="72"/>
      <c r="U2446" s="72"/>
      <c r="V2446" s="72"/>
    </row>
    <row r="2447" spans="1:22" s="63" customFormat="1" ht="22.5" x14ac:dyDescent="0.25">
      <c r="A2447" s="80">
        <v>18.899999999999999</v>
      </c>
      <c r="B2447" s="81" t="s">
        <v>67</v>
      </c>
      <c r="C2447" s="80">
        <v>2.6</v>
      </c>
      <c r="D2447" s="131" t="s">
        <v>2218</v>
      </c>
      <c r="E2447" s="83" t="s">
        <v>3971</v>
      </c>
      <c r="F2447" s="81" t="s">
        <v>219</v>
      </c>
      <c r="G2447" s="82">
        <v>1</v>
      </c>
      <c r="H2447" s="85"/>
      <c r="I2447" s="86">
        <v>315.51</v>
      </c>
      <c r="J2447" s="185">
        <f>ROUND($I2447/$G2447*$N$11,2)</f>
        <v>359.24</v>
      </c>
      <c r="K2447" s="189">
        <f t="shared" si="233"/>
        <v>359.24</v>
      </c>
      <c r="L2447" s="189"/>
      <c r="M2447" s="138"/>
      <c r="N2447" s="138"/>
      <c r="O2447" s="138"/>
      <c r="S2447" s="72"/>
      <c r="T2447" s="72"/>
      <c r="U2447" s="72"/>
      <c r="V2447" s="72"/>
    </row>
    <row r="2448" spans="1:22" s="63" customFormat="1" ht="22.5" x14ac:dyDescent="0.25">
      <c r="A2448" s="87">
        <v>18.100000000000001</v>
      </c>
      <c r="B2448" s="81" t="s">
        <v>67</v>
      </c>
      <c r="C2448" s="80">
        <v>2.7</v>
      </c>
      <c r="D2448" s="131" t="s">
        <v>2219</v>
      </c>
      <c r="E2448" s="83" t="s">
        <v>3972</v>
      </c>
      <c r="F2448" s="81" t="s">
        <v>219</v>
      </c>
      <c r="G2448" s="82">
        <v>4</v>
      </c>
      <c r="H2448" s="85"/>
      <c r="I2448" s="86">
        <v>2629.46</v>
      </c>
      <c r="J2448" s="185">
        <f>ROUND($I2448/$G2448*$N$11,2)</f>
        <v>748.48</v>
      </c>
      <c r="K2448" s="189">
        <f t="shared" si="233"/>
        <v>2993.92</v>
      </c>
      <c r="L2448" s="189"/>
      <c r="M2448" s="138"/>
      <c r="N2448" s="138"/>
      <c r="O2448" s="138"/>
      <c r="S2448" s="72"/>
      <c r="T2448" s="72"/>
      <c r="U2448" s="72"/>
      <c r="V2448" s="72"/>
    </row>
    <row r="2449" spans="1:22" s="63" customFormat="1" ht="15" x14ac:dyDescent="0.25">
      <c r="A2449" s="87">
        <v>18.11</v>
      </c>
      <c r="B2449" s="81" t="s">
        <v>67</v>
      </c>
      <c r="C2449" s="80">
        <v>2.8</v>
      </c>
      <c r="D2449" s="131" t="s">
        <v>2220</v>
      </c>
      <c r="E2449" s="83" t="s">
        <v>3973</v>
      </c>
      <c r="F2449" s="81" t="s">
        <v>219</v>
      </c>
      <c r="G2449" s="82">
        <v>1</v>
      </c>
      <c r="H2449" s="85"/>
      <c r="I2449" s="86">
        <v>1572.65</v>
      </c>
      <c r="J2449" s="185">
        <f>ROUND($I2449/$G2449*$N$11,2)</f>
        <v>1790.62</v>
      </c>
      <c r="K2449" s="189">
        <f t="shared" si="233"/>
        <v>1790.62</v>
      </c>
      <c r="L2449" s="189"/>
      <c r="M2449" s="138"/>
      <c r="N2449" s="138"/>
      <c r="O2449" s="138"/>
      <c r="S2449" s="72"/>
      <c r="T2449" s="72"/>
      <c r="U2449" s="72"/>
      <c r="V2449" s="72"/>
    </row>
    <row r="2450" spans="1:22" s="63" customFormat="1" ht="22.5" x14ac:dyDescent="0.25">
      <c r="A2450" s="101">
        <v>18.12</v>
      </c>
      <c r="B2450" s="102" t="s">
        <v>67</v>
      </c>
      <c r="C2450" s="103">
        <v>2.9</v>
      </c>
      <c r="D2450" s="167" t="s">
        <v>2221</v>
      </c>
      <c r="E2450" s="104" t="s">
        <v>3974</v>
      </c>
      <c r="F2450" s="102" t="s">
        <v>219</v>
      </c>
      <c r="G2450" s="105">
        <v>1</v>
      </c>
      <c r="H2450" s="106"/>
      <c r="I2450" s="107">
        <v>1007.67</v>
      </c>
      <c r="J2450" s="192">
        <f>ROUND($I2450/$G2450*$N$12,2)</f>
        <v>1127.08</v>
      </c>
      <c r="K2450" s="193">
        <f t="shared" si="233"/>
        <v>1127.08</v>
      </c>
      <c r="L2450" s="193"/>
      <c r="M2450" s="138"/>
      <c r="N2450" s="138"/>
      <c r="O2450" s="138"/>
      <c r="S2450" s="72"/>
      <c r="T2450" s="72"/>
      <c r="U2450" s="72"/>
      <c r="V2450" s="72"/>
    </row>
    <row r="2451" spans="1:22" s="63" customFormat="1" ht="22.5" x14ac:dyDescent="0.25">
      <c r="A2451" s="101">
        <v>18.13</v>
      </c>
      <c r="B2451" s="102" t="s">
        <v>67</v>
      </c>
      <c r="C2451" s="101">
        <v>2.1</v>
      </c>
      <c r="D2451" s="167" t="s">
        <v>2222</v>
      </c>
      <c r="E2451" s="104" t="s">
        <v>3975</v>
      </c>
      <c r="F2451" s="102" t="s">
        <v>219</v>
      </c>
      <c r="G2451" s="105">
        <v>1</v>
      </c>
      <c r="H2451" s="106"/>
      <c r="I2451" s="107">
        <v>3804.55</v>
      </c>
      <c r="J2451" s="192">
        <f>ROUND($I2451/$G2451*$N$12,2)</f>
        <v>4255.3900000000003</v>
      </c>
      <c r="K2451" s="193">
        <f t="shared" si="233"/>
        <v>4255.3900000000003</v>
      </c>
      <c r="L2451" s="193"/>
      <c r="M2451" s="138"/>
      <c r="N2451" s="138"/>
      <c r="O2451" s="138"/>
      <c r="S2451" s="72"/>
      <c r="T2451" s="72"/>
      <c r="U2451" s="72"/>
      <c r="V2451" s="72"/>
    </row>
    <row r="2452" spans="1:22" s="63" customFormat="1" ht="15" x14ac:dyDescent="0.25">
      <c r="A2452" s="87">
        <v>18.14</v>
      </c>
      <c r="B2452" s="81" t="s">
        <v>67</v>
      </c>
      <c r="C2452" s="82">
        <v>3</v>
      </c>
      <c r="D2452" s="131" t="s">
        <v>2223</v>
      </c>
      <c r="E2452" s="83" t="s">
        <v>2224</v>
      </c>
      <c r="F2452" s="81" t="s">
        <v>219</v>
      </c>
      <c r="G2452" s="82">
        <v>6</v>
      </c>
      <c r="H2452" s="85"/>
      <c r="I2452" s="86">
        <v>13267.94</v>
      </c>
      <c r="J2452" s="185">
        <f>ROUND($I2452/$G2452*$N$11,2)</f>
        <v>2517.81</v>
      </c>
      <c r="K2452" s="189">
        <f t="shared" si="233"/>
        <v>15106.86</v>
      </c>
      <c r="L2452" s="189"/>
      <c r="M2452" s="138"/>
      <c r="N2452" s="138"/>
      <c r="O2452" s="138"/>
      <c r="S2452" s="72"/>
      <c r="T2452" s="72"/>
      <c r="U2452" s="72"/>
      <c r="V2452" s="72"/>
    </row>
    <row r="2453" spans="1:22" s="63" customFormat="1" ht="33.75" x14ac:dyDescent="0.25">
      <c r="A2453" s="101">
        <v>18.149999999999999</v>
      </c>
      <c r="B2453" s="102" t="s">
        <v>67</v>
      </c>
      <c r="C2453" s="103">
        <v>3.1</v>
      </c>
      <c r="D2453" s="167" t="s">
        <v>2225</v>
      </c>
      <c r="E2453" s="104" t="s">
        <v>3976</v>
      </c>
      <c r="F2453" s="102" t="s">
        <v>219</v>
      </c>
      <c r="G2453" s="105">
        <v>6</v>
      </c>
      <c r="H2453" s="106"/>
      <c r="I2453" s="107">
        <v>104959.33</v>
      </c>
      <c r="J2453" s="192">
        <f>ROUND($I2453/$G2453*$N$12,2)</f>
        <v>19566.169999999998</v>
      </c>
      <c r="K2453" s="193">
        <f t="shared" si="233"/>
        <v>117397.02</v>
      </c>
      <c r="L2453" s="193"/>
      <c r="M2453" s="138"/>
      <c r="N2453" s="138"/>
      <c r="O2453" s="138"/>
      <c r="S2453" s="72"/>
      <c r="T2453" s="72"/>
      <c r="U2453" s="72"/>
      <c r="V2453" s="72"/>
    </row>
    <row r="2454" spans="1:22" s="63" customFormat="1" ht="15" x14ac:dyDescent="0.25">
      <c r="A2454" s="87">
        <v>18.16</v>
      </c>
      <c r="B2454" s="81" t="s">
        <v>67</v>
      </c>
      <c r="C2454" s="82">
        <v>4</v>
      </c>
      <c r="D2454" s="131" t="s">
        <v>973</v>
      </c>
      <c r="E2454" s="83" t="s">
        <v>974</v>
      </c>
      <c r="F2454" s="81" t="s">
        <v>219</v>
      </c>
      <c r="G2454" s="82">
        <v>1</v>
      </c>
      <c r="H2454" s="85"/>
      <c r="I2454" s="86">
        <v>12165.33</v>
      </c>
      <c r="J2454" s="185">
        <f>ROUND($I2454/$G2454*$N$11,2)</f>
        <v>13851.44</v>
      </c>
      <c r="K2454" s="189">
        <f t="shared" si="233"/>
        <v>13851.44</v>
      </c>
      <c r="L2454" s="189"/>
      <c r="M2454" s="138"/>
      <c r="N2454" s="138"/>
      <c r="O2454" s="138"/>
      <c r="S2454" s="72"/>
      <c r="T2454" s="72"/>
      <c r="U2454" s="72"/>
      <c r="V2454" s="72"/>
    </row>
    <row r="2455" spans="1:22" s="63" customFormat="1" ht="15" x14ac:dyDescent="0.25">
      <c r="A2455" s="101">
        <v>18.170000000000002</v>
      </c>
      <c r="B2455" s="102" t="s">
        <v>67</v>
      </c>
      <c r="C2455" s="103">
        <v>4.0999999999999996</v>
      </c>
      <c r="D2455" s="167" t="s">
        <v>2226</v>
      </c>
      <c r="E2455" s="104" t="s">
        <v>3977</v>
      </c>
      <c r="F2455" s="102" t="s">
        <v>219</v>
      </c>
      <c r="G2455" s="105">
        <v>1</v>
      </c>
      <c r="H2455" s="106"/>
      <c r="I2455" s="107">
        <v>68046.67</v>
      </c>
      <c r="J2455" s="192">
        <f>ROUND($I2455/$G2455*$N$12,2)</f>
        <v>76110.2</v>
      </c>
      <c r="K2455" s="193">
        <f t="shared" si="233"/>
        <v>76110.2</v>
      </c>
      <c r="L2455" s="193"/>
      <c r="M2455" s="138"/>
      <c r="N2455" s="138"/>
      <c r="O2455" s="138"/>
      <c r="S2455" s="72"/>
      <c r="T2455" s="72"/>
      <c r="U2455" s="72"/>
      <c r="V2455" s="72"/>
    </row>
    <row r="2456" spans="1:22" s="63" customFormat="1" ht="15" x14ac:dyDescent="0.25">
      <c r="A2456" s="87">
        <v>18.18</v>
      </c>
      <c r="B2456" s="81" t="s">
        <v>67</v>
      </c>
      <c r="C2456" s="82">
        <v>5</v>
      </c>
      <c r="D2456" s="131" t="s">
        <v>2227</v>
      </c>
      <c r="E2456" s="83" t="s">
        <v>2228</v>
      </c>
      <c r="F2456" s="81" t="s">
        <v>216</v>
      </c>
      <c r="G2456" s="87">
        <v>0.37</v>
      </c>
      <c r="H2456" s="85"/>
      <c r="I2456" s="86">
        <v>11831.45</v>
      </c>
      <c r="J2456" s="185">
        <f>ROUND($I2456/$G2456*$N$11,2)</f>
        <v>36408.89</v>
      </c>
      <c r="K2456" s="189">
        <f t="shared" si="233"/>
        <v>13471.29</v>
      </c>
      <c r="L2456" s="189"/>
      <c r="M2456" s="138"/>
      <c r="N2456" s="138"/>
      <c r="O2456" s="138"/>
      <c r="S2456" s="72"/>
      <c r="T2456" s="72"/>
      <c r="U2456" s="72"/>
      <c r="V2456" s="72"/>
    </row>
    <row r="2457" spans="1:22" s="63" customFormat="1" ht="15" x14ac:dyDescent="0.25">
      <c r="A2457" s="87">
        <v>18.190000000000001</v>
      </c>
      <c r="B2457" s="81" t="s">
        <v>67</v>
      </c>
      <c r="C2457" s="80">
        <v>5.0999999999999996</v>
      </c>
      <c r="D2457" s="131" t="s">
        <v>2229</v>
      </c>
      <c r="E2457" s="83" t="s">
        <v>3978</v>
      </c>
      <c r="F2457" s="81" t="s">
        <v>219</v>
      </c>
      <c r="G2457" s="82">
        <v>37</v>
      </c>
      <c r="H2457" s="85"/>
      <c r="I2457" s="86">
        <v>4341.25</v>
      </c>
      <c r="J2457" s="185">
        <f>ROUND($I2457/$G2457*$N$11,2)</f>
        <v>133.59</v>
      </c>
      <c r="K2457" s="189">
        <f t="shared" si="233"/>
        <v>4942.83</v>
      </c>
      <c r="L2457" s="189"/>
      <c r="M2457" s="138"/>
      <c r="N2457" s="138"/>
      <c r="O2457" s="138"/>
      <c r="S2457" s="72"/>
      <c r="T2457" s="72"/>
      <c r="U2457" s="72"/>
      <c r="V2457" s="72"/>
    </row>
    <row r="2458" spans="1:22" s="128" customFormat="1" ht="12.75" x14ac:dyDescent="0.25">
      <c r="A2458" s="237"/>
      <c r="B2458" s="125"/>
      <c r="C2458" s="236"/>
      <c r="D2458" s="77"/>
      <c r="E2458" s="126" t="s">
        <v>3348</v>
      </c>
      <c r="F2458" s="125"/>
      <c r="G2458" s="76"/>
      <c r="H2458" s="127"/>
      <c r="I2458" s="78"/>
      <c r="J2458" s="238"/>
      <c r="K2458" s="239"/>
      <c r="L2458" s="239"/>
      <c r="M2458" s="79"/>
      <c r="N2458" s="79"/>
      <c r="O2458" s="79"/>
      <c r="S2458" s="129"/>
      <c r="T2458" s="129"/>
      <c r="U2458" s="129"/>
      <c r="V2458" s="129"/>
    </row>
    <row r="2459" spans="1:22" s="63" customFormat="1" ht="15" x14ac:dyDescent="0.25">
      <c r="A2459" s="87">
        <v>18.2</v>
      </c>
      <c r="B2459" s="81" t="s">
        <v>67</v>
      </c>
      <c r="C2459" s="82">
        <v>6</v>
      </c>
      <c r="D2459" s="131" t="s">
        <v>992</v>
      </c>
      <c r="E2459" s="83" t="s">
        <v>993</v>
      </c>
      <c r="F2459" s="81" t="s">
        <v>219</v>
      </c>
      <c r="G2459" s="82">
        <v>16</v>
      </c>
      <c r="H2459" s="85"/>
      <c r="I2459" s="86">
        <v>12134.05</v>
      </c>
      <c r="J2459" s="185">
        <f>ROUND($I2459/$G2459*$N$11,2)</f>
        <v>863.49</v>
      </c>
      <c r="K2459" s="189">
        <f>ROUND(G2459*J2459,2)</f>
        <v>13815.84</v>
      </c>
      <c r="L2459" s="189"/>
      <c r="M2459" s="138"/>
      <c r="N2459" s="138"/>
      <c r="O2459" s="138"/>
      <c r="S2459" s="72"/>
      <c r="T2459" s="72"/>
      <c r="U2459" s="72"/>
      <c r="V2459" s="72"/>
    </row>
    <row r="2460" spans="1:22" s="63" customFormat="1" ht="22.5" x14ac:dyDescent="0.25">
      <c r="A2460" s="101">
        <v>18.21</v>
      </c>
      <c r="B2460" s="102" t="s">
        <v>67</v>
      </c>
      <c r="C2460" s="103">
        <v>6.1</v>
      </c>
      <c r="D2460" s="167" t="s">
        <v>2230</v>
      </c>
      <c r="E2460" s="104" t="s">
        <v>3979</v>
      </c>
      <c r="F2460" s="102" t="s">
        <v>219</v>
      </c>
      <c r="G2460" s="105">
        <v>16</v>
      </c>
      <c r="H2460" s="106"/>
      <c r="I2460" s="107">
        <v>52176.37</v>
      </c>
      <c r="J2460" s="192">
        <f>ROUND($I2460/$G2460*$N$12,2)</f>
        <v>3647.45</v>
      </c>
      <c r="K2460" s="193">
        <f>ROUND(G2460*J2460,2)</f>
        <v>58359.199999999997</v>
      </c>
      <c r="L2460" s="193"/>
      <c r="M2460" s="138"/>
      <c r="N2460" s="138"/>
      <c r="O2460" s="138"/>
      <c r="S2460" s="72"/>
      <c r="T2460" s="72"/>
      <c r="U2460" s="72"/>
      <c r="V2460" s="72"/>
    </row>
    <row r="2461" spans="1:22" s="63" customFormat="1" ht="15" x14ac:dyDescent="0.25">
      <c r="A2461" s="87">
        <v>18.22</v>
      </c>
      <c r="B2461" s="81" t="s">
        <v>67</v>
      </c>
      <c r="C2461" s="82">
        <v>7</v>
      </c>
      <c r="D2461" s="131" t="s">
        <v>977</v>
      </c>
      <c r="E2461" s="83" t="s">
        <v>978</v>
      </c>
      <c r="F2461" s="81" t="s">
        <v>219</v>
      </c>
      <c r="G2461" s="82">
        <v>1</v>
      </c>
      <c r="H2461" s="85"/>
      <c r="I2461" s="86">
        <v>939.04</v>
      </c>
      <c r="J2461" s="185">
        <f>ROUND($I2461/$G2461*$N$11,2)</f>
        <v>1069.19</v>
      </c>
      <c r="K2461" s="189">
        <f>ROUND(G2461*J2461,2)</f>
        <v>1069.19</v>
      </c>
      <c r="L2461" s="189"/>
      <c r="M2461" s="138"/>
      <c r="N2461" s="138"/>
      <c r="O2461" s="138"/>
      <c r="S2461" s="72"/>
      <c r="T2461" s="72"/>
      <c r="U2461" s="72"/>
      <c r="V2461" s="72"/>
    </row>
    <row r="2462" spans="1:22" s="63" customFormat="1" ht="15" x14ac:dyDescent="0.25">
      <c r="A2462" s="101">
        <v>18.23</v>
      </c>
      <c r="B2462" s="102" t="s">
        <v>67</v>
      </c>
      <c r="C2462" s="103">
        <v>7.1</v>
      </c>
      <c r="D2462" s="167" t="s">
        <v>2231</v>
      </c>
      <c r="E2462" s="104" t="s">
        <v>3980</v>
      </c>
      <c r="F2462" s="102" t="s">
        <v>219</v>
      </c>
      <c r="G2462" s="105">
        <v>1</v>
      </c>
      <c r="H2462" s="106"/>
      <c r="I2462" s="107">
        <v>135473.78</v>
      </c>
      <c r="J2462" s="192">
        <f>ROUND($I2462/$G2462*$N$12,2)</f>
        <v>151527.42000000001</v>
      </c>
      <c r="K2462" s="193">
        <f>ROUND(G2462*J2462,2)</f>
        <v>151527.42000000001</v>
      </c>
      <c r="L2462" s="193"/>
      <c r="M2462" s="138"/>
      <c r="N2462" s="138"/>
      <c r="O2462" s="138"/>
      <c r="S2462" s="72"/>
      <c r="T2462" s="72"/>
      <c r="U2462" s="72"/>
      <c r="V2462" s="72"/>
    </row>
    <row r="2463" spans="1:22" s="275" customFormat="1" ht="12.75" x14ac:dyDescent="0.25">
      <c r="A2463" s="273"/>
      <c r="B2463" s="263"/>
      <c r="C2463" s="262"/>
      <c r="D2463" s="219"/>
      <c r="E2463" s="248" t="s">
        <v>3349</v>
      </c>
      <c r="F2463" s="263"/>
      <c r="G2463" s="216"/>
      <c r="H2463" s="264"/>
      <c r="I2463" s="221"/>
      <c r="J2463" s="265"/>
      <c r="K2463" s="266"/>
      <c r="L2463" s="266"/>
      <c r="M2463" s="274"/>
      <c r="N2463" s="274"/>
      <c r="O2463" s="274"/>
      <c r="S2463" s="276"/>
      <c r="T2463" s="276"/>
      <c r="U2463" s="276"/>
      <c r="V2463" s="276"/>
    </row>
    <row r="2464" spans="1:22" s="63" customFormat="1" ht="15" x14ac:dyDescent="0.25">
      <c r="A2464" s="87">
        <v>18.239999999999998</v>
      </c>
      <c r="B2464" s="81" t="s">
        <v>67</v>
      </c>
      <c r="C2464" s="82">
        <v>8</v>
      </c>
      <c r="D2464" s="131" t="s">
        <v>2232</v>
      </c>
      <c r="E2464" s="83" t="s">
        <v>2233</v>
      </c>
      <c r="F2464" s="81" t="s">
        <v>2234</v>
      </c>
      <c r="G2464" s="82">
        <v>1</v>
      </c>
      <c r="H2464" s="85"/>
      <c r="I2464" s="86">
        <v>215151.55</v>
      </c>
      <c r="J2464" s="185">
        <f>ROUND($I2464/$G2464*$N$11,2)</f>
        <v>244971.55</v>
      </c>
      <c r="K2464" s="189">
        <f t="shared" ref="K2464:K2473" si="234">ROUND(G2464*J2464,2)</f>
        <v>244971.55</v>
      </c>
      <c r="L2464" s="189"/>
      <c r="M2464" s="138"/>
      <c r="N2464" s="138"/>
      <c r="O2464" s="138"/>
      <c r="S2464" s="72"/>
      <c r="T2464" s="72"/>
      <c r="U2464" s="72"/>
      <c r="V2464" s="72"/>
    </row>
    <row r="2465" spans="1:22" s="63" customFormat="1" ht="22.5" x14ac:dyDescent="0.25">
      <c r="A2465" s="101">
        <v>18.25</v>
      </c>
      <c r="B2465" s="102" t="s">
        <v>67</v>
      </c>
      <c r="C2465" s="103">
        <v>8.1</v>
      </c>
      <c r="D2465" s="167" t="s">
        <v>2235</v>
      </c>
      <c r="E2465" s="104" t="s">
        <v>3981</v>
      </c>
      <c r="F2465" s="102" t="s">
        <v>219</v>
      </c>
      <c r="G2465" s="105">
        <v>1</v>
      </c>
      <c r="H2465" s="106"/>
      <c r="I2465" s="107">
        <v>1978.35</v>
      </c>
      <c r="J2465" s="192">
        <f>ROUND($I2465/$G2465*$N$12,2)</f>
        <v>2212.7800000000002</v>
      </c>
      <c r="K2465" s="193">
        <f t="shared" si="234"/>
        <v>2212.7800000000002</v>
      </c>
      <c r="L2465" s="193"/>
      <c r="M2465" s="138"/>
      <c r="N2465" s="138"/>
      <c r="O2465" s="138"/>
      <c r="S2465" s="72"/>
      <c r="T2465" s="72"/>
      <c r="U2465" s="72"/>
      <c r="V2465" s="72"/>
    </row>
    <row r="2466" spans="1:22" s="63" customFormat="1" ht="22.5" x14ac:dyDescent="0.25">
      <c r="A2466" s="101">
        <v>18.260000000000002</v>
      </c>
      <c r="B2466" s="102" t="s">
        <v>67</v>
      </c>
      <c r="C2466" s="103">
        <v>8.1999999999999993</v>
      </c>
      <c r="D2466" s="167" t="s">
        <v>2236</v>
      </c>
      <c r="E2466" s="104" t="s">
        <v>3982</v>
      </c>
      <c r="F2466" s="102" t="s">
        <v>219</v>
      </c>
      <c r="G2466" s="105">
        <v>1</v>
      </c>
      <c r="H2466" s="106"/>
      <c r="I2466" s="107">
        <v>1195.7</v>
      </c>
      <c r="J2466" s="192">
        <f>ROUND($I2466/$G2466*$N$12,2)</f>
        <v>1337.39</v>
      </c>
      <c r="K2466" s="193">
        <f t="shared" si="234"/>
        <v>1337.39</v>
      </c>
      <c r="L2466" s="193"/>
      <c r="M2466" s="138"/>
      <c r="N2466" s="138"/>
      <c r="O2466" s="138"/>
      <c r="S2466" s="72"/>
      <c r="T2466" s="72"/>
      <c r="U2466" s="72"/>
      <c r="V2466" s="72"/>
    </row>
    <row r="2467" spans="1:22" s="63" customFormat="1" ht="22.5" x14ac:dyDescent="0.25">
      <c r="A2467" s="101">
        <v>18.27</v>
      </c>
      <c r="B2467" s="102" t="s">
        <v>67</v>
      </c>
      <c r="C2467" s="103">
        <v>8.3000000000000007</v>
      </c>
      <c r="D2467" s="167" t="s">
        <v>2237</v>
      </c>
      <c r="E2467" s="104" t="s">
        <v>3983</v>
      </c>
      <c r="F2467" s="102" t="s">
        <v>219</v>
      </c>
      <c r="G2467" s="105">
        <v>1</v>
      </c>
      <c r="H2467" s="106"/>
      <c r="I2467" s="107">
        <v>514.16</v>
      </c>
      <c r="J2467" s="192">
        <f>ROUND($I2467/$G2467*$N$12,2)</f>
        <v>575.09</v>
      </c>
      <c r="K2467" s="193">
        <f t="shared" si="234"/>
        <v>575.09</v>
      </c>
      <c r="L2467" s="193"/>
      <c r="M2467" s="138"/>
      <c r="N2467" s="138"/>
      <c r="O2467" s="138"/>
      <c r="S2467" s="72"/>
      <c r="T2467" s="72"/>
      <c r="U2467" s="72"/>
      <c r="V2467" s="72"/>
    </row>
    <row r="2468" spans="1:22" s="63" customFormat="1" ht="56.25" x14ac:dyDescent="0.25">
      <c r="A2468" s="101">
        <v>18.28</v>
      </c>
      <c r="B2468" s="102" t="s">
        <v>67</v>
      </c>
      <c r="C2468" s="103">
        <v>8.4</v>
      </c>
      <c r="D2468" s="167" t="s">
        <v>2238</v>
      </c>
      <c r="E2468" s="104" t="s">
        <v>3984</v>
      </c>
      <c r="F2468" s="102" t="s">
        <v>2239</v>
      </c>
      <c r="G2468" s="105">
        <v>1</v>
      </c>
      <c r="H2468" s="106"/>
      <c r="I2468" s="107">
        <v>2500.12</v>
      </c>
      <c r="J2468" s="192">
        <f>ROUND($I2468/$G2468*$N$12,2)</f>
        <v>2796.38</v>
      </c>
      <c r="K2468" s="193">
        <f t="shared" si="234"/>
        <v>2796.38</v>
      </c>
      <c r="L2468" s="193"/>
      <c r="M2468" s="138"/>
      <c r="N2468" s="138"/>
      <c r="O2468" s="138"/>
      <c r="S2468" s="72"/>
      <c r="T2468" s="72"/>
      <c r="U2468" s="72"/>
      <c r="V2468" s="72"/>
    </row>
    <row r="2469" spans="1:22" s="63" customFormat="1" ht="22.5" x14ac:dyDescent="0.25">
      <c r="A2469" s="87">
        <v>18.29</v>
      </c>
      <c r="B2469" s="81" t="s">
        <v>67</v>
      </c>
      <c r="C2469" s="80">
        <v>8.5</v>
      </c>
      <c r="D2469" s="131" t="s">
        <v>2240</v>
      </c>
      <c r="E2469" s="83" t="s">
        <v>3985</v>
      </c>
      <c r="F2469" s="81" t="s">
        <v>219</v>
      </c>
      <c r="G2469" s="82">
        <v>10</v>
      </c>
      <c r="H2469" s="85"/>
      <c r="I2469" s="86">
        <v>393.56</v>
      </c>
      <c r="J2469" s="185">
        <f>ROUND($I2469/$G2469*$N$11,2)</f>
        <v>44.81</v>
      </c>
      <c r="K2469" s="189">
        <f t="shared" si="234"/>
        <v>448.1</v>
      </c>
      <c r="L2469" s="189"/>
      <c r="M2469" s="138"/>
      <c r="N2469" s="138"/>
      <c r="O2469" s="138"/>
      <c r="S2469" s="72"/>
      <c r="T2469" s="72"/>
      <c r="U2469" s="72"/>
      <c r="V2469" s="72"/>
    </row>
    <row r="2470" spans="1:22" s="63" customFormat="1" ht="22.5" x14ac:dyDescent="0.25">
      <c r="A2470" s="87">
        <v>18.3</v>
      </c>
      <c r="B2470" s="81" t="s">
        <v>67</v>
      </c>
      <c r="C2470" s="80">
        <v>8.6</v>
      </c>
      <c r="D2470" s="131" t="s">
        <v>2241</v>
      </c>
      <c r="E2470" s="83" t="s">
        <v>3986</v>
      </c>
      <c r="F2470" s="81" t="s">
        <v>219</v>
      </c>
      <c r="G2470" s="82">
        <v>14</v>
      </c>
      <c r="H2470" s="85"/>
      <c r="I2470" s="86">
        <v>74.41</v>
      </c>
      <c r="J2470" s="185">
        <f>ROUND($I2470/$G2470*$N$11,2)</f>
        <v>6.05</v>
      </c>
      <c r="K2470" s="189">
        <f t="shared" si="234"/>
        <v>84.7</v>
      </c>
      <c r="L2470" s="189"/>
      <c r="M2470" s="138"/>
      <c r="N2470" s="138"/>
      <c r="O2470" s="138"/>
      <c r="S2470" s="72"/>
      <c r="T2470" s="72"/>
      <c r="U2470" s="72"/>
      <c r="V2470" s="72"/>
    </row>
    <row r="2471" spans="1:22" s="63" customFormat="1" ht="15" x14ac:dyDescent="0.25">
      <c r="A2471" s="87">
        <v>18.309999999999999</v>
      </c>
      <c r="B2471" s="81" t="s">
        <v>67</v>
      </c>
      <c r="C2471" s="82">
        <v>9</v>
      </c>
      <c r="D2471" s="131" t="s">
        <v>2242</v>
      </c>
      <c r="E2471" s="83" t="s">
        <v>2243</v>
      </c>
      <c r="F2471" s="81" t="s">
        <v>219</v>
      </c>
      <c r="G2471" s="82">
        <v>1</v>
      </c>
      <c r="H2471" s="85"/>
      <c r="I2471" s="86">
        <v>15834.35</v>
      </c>
      <c r="J2471" s="185">
        <f>ROUND($I2471/$G2471*$N$11,2)</f>
        <v>18028.990000000002</v>
      </c>
      <c r="K2471" s="189">
        <f t="shared" si="234"/>
        <v>18028.990000000002</v>
      </c>
      <c r="L2471" s="189"/>
      <c r="M2471" s="138"/>
      <c r="N2471" s="138"/>
      <c r="O2471" s="138"/>
      <c r="S2471" s="72"/>
      <c r="T2471" s="72"/>
      <c r="U2471" s="72"/>
      <c r="V2471" s="72"/>
    </row>
    <row r="2472" spans="1:22" s="63" customFormat="1" ht="22.5" x14ac:dyDescent="0.25">
      <c r="A2472" s="101">
        <v>18.32</v>
      </c>
      <c r="B2472" s="102" t="s">
        <v>67</v>
      </c>
      <c r="C2472" s="103">
        <v>9.1</v>
      </c>
      <c r="D2472" s="167" t="s">
        <v>2244</v>
      </c>
      <c r="E2472" s="104" t="s">
        <v>3987</v>
      </c>
      <c r="F2472" s="102" t="s">
        <v>219</v>
      </c>
      <c r="G2472" s="105">
        <v>1</v>
      </c>
      <c r="H2472" s="106"/>
      <c r="I2472" s="107">
        <v>3065.37</v>
      </c>
      <c r="J2472" s="192">
        <f>ROUND($I2472/$G2472*$N$12,2)</f>
        <v>3428.62</v>
      </c>
      <c r="K2472" s="193">
        <f t="shared" si="234"/>
        <v>3428.62</v>
      </c>
      <c r="L2472" s="193"/>
      <c r="M2472" s="138"/>
      <c r="N2472" s="138"/>
      <c r="O2472" s="138"/>
      <c r="S2472" s="72"/>
      <c r="T2472" s="72"/>
      <c r="U2472" s="72"/>
      <c r="V2472" s="72"/>
    </row>
    <row r="2473" spans="1:22" s="63" customFormat="1" ht="22.5" x14ac:dyDescent="0.25">
      <c r="A2473" s="101">
        <v>18.329999999999998</v>
      </c>
      <c r="B2473" s="102" t="s">
        <v>67</v>
      </c>
      <c r="C2473" s="103">
        <v>9.1999999999999993</v>
      </c>
      <c r="D2473" s="167" t="s">
        <v>2245</v>
      </c>
      <c r="E2473" s="104" t="s">
        <v>3988</v>
      </c>
      <c r="F2473" s="102" t="s">
        <v>219</v>
      </c>
      <c r="G2473" s="105">
        <v>2</v>
      </c>
      <c r="H2473" s="106"/>
      <c r="I2473" s="107">
        <v>476.09</v>
      </c>
      <c r="J2473" s="192">
        <f>ROUND($I2473/$G2473*$N$12,2)</f>
        <v>266.25</v>
      </c>
      <c r="K2473" s="193">
        <f t="shared" si="234"/>
        <v>532.5</v>
      </c>
      <c r="L2473" s="193"/>
      <c r="M2473" s="138"/>
      <c r="N2473" s="138"/>
      <c r="O2473" s="138"/>
      <c r="S2473" s="72"/>
      <c r="T2473" s="72"/>
      <c r="U2473" s="72"/>
      <c r="V2473" s="72"/>
    </row>
    <row r="2474" spans="1:22" s="275" customFormat="1" ht="12.75" x14ac:dyDescent="0.25">
      <c r="A2474" s="273"/>
      <c r="B2474" s="263"/>
      <c r="C2474" s="262"/>
      <c r="D2474" s="219"/>
      <c r="E2474" s="248" t="s">
        <v>3350</v>
      </c>
      <c r="F2474" s="263"/>
      <c r="G2474" s="216"/>
      <c r="H2474" s="264"/>
      <c r="I2474" s="221"/>
      <c r="J2474" s="265"/>
      <c r="K2474" s="266"/>
      <c r="L2474" s="266"/>
      <c r="M2474" s="274"/>
      <c r="N2474" s="274"/>
      <c r="O2474" s="274"/>
      <c r="S2474" s="276"/>
      <c r="T2474" s="276"/>
      <c r="U2474" s="276"/>
      <c r="V2474" s="276"/>
    </row>
    <row r="2475" spans="1:22" s="63" customFormat="1" ht="15" x14ac:dyDescent="0.25">
      <c r="A2475" s="87">
        <v>18.34</v>
      </c>
      <c r="B2475" s="81" t="s">
        <v>67</v>
      </c>
      <c r="C2475" s="82">
        <v>10</v>
      </c>
      <c r="D2475" s="131" t="s">
        <v>2246</v>
      </c>
      <c r="E2475" s="83" t="s">
        <v>2247</v>
      </c>
      <c r="F2475" s="81" t="s">
        <v>219</v>
      </c>
      <c r="G2475" s="82">
        <v>22</v>
      </c>
      <c r="H2475" s="85"/>
      <c r="I2475" s="86">
        <v>39371.71</v>
      </c>
      <c r="J2475" s="185">
        <f>ROUND($I2475/$G2475*$N$11,2)</f>
        <v>2037.66</v>
      </c>
      <c r="K2475" s="189">
        <f>ROUND(G2475*J2475,2)</f>
        <v>44828.52</v>
      </c>
      <c r="L2475" s="189"/>
      <c r="M2475" s="138"/>
      <c r="N2475" s="138"/>
      <c r="O2475" s="138"/>
      <c r="S2475" s="72"/>
      <c r="T2475" s="72"/>
      <c r="U2475" s="72"/>
      <c r="V2475" s="72"/>
    </row>
    <row r="2476" spans="1:22" s="63" customFormat="1" ht="15" x14ac:dyDescent="0.25">
      <c r="A2476" s="101">
        <v>18.350000000000001</v>
      </c>
      <c r="B2476" s="102" t="s">
        <v>67</v>
      </c>
      <c r="C2476" s="103">
        <v>10.1</v>
      </c>
      <c r="D2476" s="167" t="s">
        <v>2248</v>
      </c>
      <c r="E2476" s="104" t="s">
        <v>3989</v>
      </c>
      <c r="F2476" s="102" t="s">
        <v>219</v>
      </c>
      <c r="G2476" s="105">
        <v>22</v>
      </c>
      <c r="H2476" s="106"/>
      <c r="I2476" s="107">
        <v>351930.42</v>
      </c>
      <c r="J2476" s="192">
        <f>ROUND($I2476/$G2476*$N$12,2)</f>
        <v>17892.46</v>
      </c>
      <c r="K2476" s="193">
        <f>ROUND(G2476*J2476,2)</f>
        <v>393634.12</v>
      </c>
      <c r="L2476" s="193"/>
      <c r="M2476" s="138"/>
      <c r="N2476" s="138"/>
      <c r="O2476" s="138"/>
      <c r="S2476" s="72"/>
      <c r="T2476" s="72"/>
      <c r="U2476" s="72"/>
      <c r="V2476" s="72"/>
    </row>
    <row r="2477" spans="1:22" s="275" customFormat="1" ht="12.75" x14ac:dyDescent="0.25">
      <c r="A2477" s="273"/>
      <c r="B2477" s="263"/>
      <c r="C2477" s="262"/>
      <c r="D2477" s="219"/>
      <c r="E2477" s="248" t="s">
        <v>3351</v>
      </c>
      <c r="F2477" s="263"/>
      <c r="G2477" s="216"/>
      <c r="H2477" s="264"/>
      <c r="I2477" s="221"/>
      <c r="J2477" s="265"/>
      <c r="K2477" s="266"/>
      <c r="L2477" s="266"/>
      <c r="M2477" s="274"/>
      <c r="N2477" s="274"/>
      <c r="O2477" s="274"/>
      <c r="S2477" s="276"/>
      <c r="T2477" s="276"/>
      <c r="U2477" s="276"/>
      <c r="V2477" s="276"/>
    </row>
    <row r="2478" spans="1:22" s="63" customFormat="1" ht="15" x14ac:dyDescent="0.25">
      <c r="A2478" s="87">
        <v>18.36</v>
      </c>
      <c r="B2478" s="81" t="s">
        <v>67</v>
      </c>
      <c r="C2478" s="82">
        <v>11</v>
      </c>
      <c r="D2478" s="131" t="s">
        <v>2249</v>
      </c>
      <c r="E2478" s="83" t="s">
        <v>2250</v>
      </c>
      <c r="F2478" s="81" t="s">
        <v>219</v>
      </c>
      <c r="G2478" s="82">
        <v>9</v>
      </c>
      <c r="H2478" s="85"/>
      <c r="I2478" s="86">
        <v>7982.78</v>
      </c>
      <c r="J2478" s="185">
        <f>ROUND($I2478/$G2478*$N$11,2)</f>
        <v>1009.91</v>
      </c>
      <c r="K2478" s="189">
        <f t="shared" ref="K2478:K2484" si="235">ROUND(G2478*J2478,2)</f>
        <v>9089.19</v>
      </c>
      <c r="L2478" s="189"/>
      <c r="M2478" s="138"/>
      <c r="N2478" s="138"/>
      <c r="O2478" s="138"/>
      <c r="S2478" s="72"/>
      <c r="T2478" s="72"/>
      <c r="U2478" s="72"/>
      <c r="V2478" s="72"/>
    </row>
    <row r="2479" spans="1:22" s="63" customFormat="1" ht="22.5" x14ac:dyDescent="0.25">
      <c r="A2479" s="87">
        <v>18.37</v>
      </c>
      <c r="B2479" s="81" t="s">
        <v>67</v>
      </c>
      <c r="C2479" s="80">
        <v>11.1</v>
      </c>
      <c r="D2479" s="131" t="s">
        <v>2251</v>
      </c>
      <c r="E2479" s="83" t="s">
        <v>2252</v>
      </c>
      <c r="F2479" s="81" t="s">
        <v>216</v>
      </c>
      <c r="G2479" s="87">
        <v>0.09</v>
      </c>
      <c r="H2479" s="85"/>
      <c r="I2479" s="86">
        <v>316.04000000000002</v>
      </c>
      <c r="J2479" s="185">
        <f>ROUND($I2479/$G2479*$N$11,2)</f>
        <v>3998.26</v>
      </c>
      <c r="K2479" s="189">
        <f t="shared" si="235"/>
        <v>359.84</v>
      </c>
      <c r="L2479" s="189"/>
      <c r="M2479" s="138"/>
      <c r="N2479" s="138"/>
      <c r="O2479" s="138"/>
      <c r="S2479" s="72"/>
      <c r="T2479" s="72"/>
      <c r="U2479" s="72"/>
      <c r="V2479" s="72"/>
    </row>
    <row r="2480" spans="1:22" s="63" customFormat="1" ht="15" x14ac:dyDescent="0.25">
      <c r="A2480" s="87">
        <v>18.38</v>
      </c>
      <c r="B2480" s="81" t="s">
        <v>67</v>
      </c>
      <c r="C2480" s="82">
        <v>12</v>
      </c>
      <c r="D2480" s="131" t="s">
        <v>2134</v>
      </c>
      <c r="E2480" s="83" t="s">
        <v>2135</v>
      </c>
      <c r="F2480" s="81" t="s">
        <v>219</v>
      </c>
      <c r="G2480" s="82">
        <v>9</v>
      </c>
      <c r="H2480" s="85"/>
      <c r="I2480" s="86">
        <v>4347.13</v>
      </c>
      <c r="J2480" s="185">
        <f>ROUND($I2480/$G2480*$N$11,2)</f>
        <v>549.96</v>
      </c>
      <c r="K2480" s="189">
        <f t="shared" si="235"/>
        <v>4949.6400000000003</v>
      </c>
      <c r="L2480" s="189"/>
      <c r="M2480" s="138"/>
      <c r="N2480" s="138"/>
      <c r="O2480" s="138"/>
      <c r="S2480" s="72"/>
      <c r="T2480" s="72"/>
      <c r="U2480" s="72"/>
      <c r="V2480" s="72"/>
    </row>
    <row r="2481" spans="1:22" s="63" customFormat="1" ht="22.5" x14ac:dyDescent="0.25">
      <c r="A2481" s="87">
        <v>18.39</v>
      </c>
      <c r="B2481" s="81" t="s">
        <v>67</v>
      </c>
      <c r="C2481" s="80">
        <v>12.1</v>
      </c>
      <c r="D2481" s="131" t="s">
        <v>2253</v>
      </c>
      <c r="E2481" s="83" t="s">
        <v>2254</v>
      </c>
      <c r="F2481" s="81" t="s">
        <v>566</v>
      </c>
      <c r="G2481" s="80">
        <v>0.9</v>
      </c>
      <c r="H2481" s="85"/>
      <c r="I2481" s="86">
        <v>572.23</v>
      </c>
      <c r="J2481" s="185">
        <f>ROUND($I2481/$G2481*$N$11,2)</f>
        <v>723.93</v>
      </c>
      <c r="K2481" s="189">
        <f t="shared" si="235"/>
        <v>651.54</v>
      </c>
      <c r="L2481" s="189"/>
      <c r="M2481" s="138"/>
      <c r="N2481" s="138"/>
      <c r="O2481" s="138"/>
      <c r="S2481" s="72"/>
      <c r="T2481" s="72"/>
      <c r="U2481" s="72"/>
      <c r="V2481" s="72"/>
    </row>
    <row r="2482" spans="1:22" s="63" customFormat="1" ht="15" x14ac:dyDescent="0.25">
      <c r="A2482" s="87">
        <v>18.399999999999999</v>
      </c>
      <c r="B2482" s="81" t="s">
        <v>67</v>
      </c>
      <c r="C2482" s="82">
        <v>13</v>
      </c>
      <c r="D2482" s="131" t="s">
        <v>2255</v>
      </c>
      <c r="E2482" s="83" t="s">
        <v>2256</v>
      </c>
      <c r="F2482" s="81" t="s">
        <v>219</v>
      </c>
      <c r="G2482" s="82">
        <v>11</v>
      </c>
      <c r="H2482" s="85"/>
      <c r="I2482" s="86">
        <v>21886.62</v>
      </c>
      <c r="J2482" s="185">
        <f>ROUND($I2482/$G2482*$N$11,2)</f>
        <v>2265.46</v>
      </c>
      <c r="K2482" s="189">
        <f t="shared" si="235"/>
        <v>24920.06</v>
      </c>
      <c r="L2482" s="189"/>
      <c r="M2482" s="138"/>
      <c r="N2482" s="138"/>
      <c r="O2482" s="138"/>
      <c r="S2482" s="72"/>
      <c r="T2482" s="72"/>
      <c r="U2482" s="72"/>
      <c r="V2482" s="72"/>
    </row>
    <row r="2483" spans="1:22" s="63" customFormat="1" ht="22.5" x14ac:dyDescent="0.25">
      <c r="A2483" s="101">
        <v>18.41</v>
      </c>
      <c r="B2483" s="102" t="s">
        <v>67</v>
      </c>
      <c r="C2483" s="103">
        <v>13.1</v>
      </c>
      <c r="D2483" s="167" t="s">
        <v>2257</v>
      </c>
      <c r="E2483" s="104" t="s">
        <v>3990</v>
      </c>
      <c r="F2483" s="102" t="s">
        <v>219</v>
      </c>
      <c r="G2483" s="105">
        <v>9</v>
      </c>
      <c r="H2483" s="106"/>
      <c r="I2483" s="107">
        <v>4734.82</v>
      </c>
      <c r="J2483" s="192">
        <f>ROUND($I2483/$G2483*$N$12,2)</f>
        <v>588.42999999999995</v>
      </c>
      <c r="K2483" s="193">
        <f t="shared" si="235"/>
        <v>5295.87</v>
      </c>
      <c r="L2483" s="193"/>
      <c r="M2483" s="138"/>
      <c r="N2483" s="138"/>
      <c r="O2483" s="138"/>
      <c r="S2483" s="72"/>
      <c r="T2483" s="72"/>
      <c r="U2483" s="72"/>
      <c r="V2483" s="72"/>
    </row>
    <row r="2484" spans="1:22" s="63" customFormat="1" ht="22.5" x14ac:dyDescent="0.25">
      <c r="A2484" s="101">
        <v>18.420000000000002</v>
      </c>
      <c r="B2484" s="102" t="s">
        <v>67</v>
      </c>
      <c r="C2484" s="103">
        <v>13.2</v>
      </c>
      <c r="D2484" s="167" t="s">
        <v>2258</v>
      </c>
      <c r="E2484" s="104" t="s">
        <v>3991</v>
      </c>
      <c r="F2484" s="102" t="s">
        <v>219</v>
      </c>
      <c r="G2484" s="105">
        <v>2</v>
      </c>
      <c r="H2484" s="106"/>
      <c r="I2484" s="107">
        <v>5791.58</v>
      </c>
      <c r="J2484" s="192">
        <f>ROUND($I2484/$G2484*$N$12,2)</f>
        <v>3238.94</v>
      </c>
      <c r="K2484" s="193">
        <f t="shared" si="235"/>
        <v>6477.88</v>
      </c>
      <c r="L2484" s="193"/>
      <c r="M2484" s="138"/>
      <c r="N2484" s="138"/>
      <c r="O2484" s="138"/>
      <c r="S2484" s="72"/>
      <c r="T2484" s="72"/>
      <c r="U2484" s="72"/>
      <c r="V2484" s="72"/>
    </row>
    <row r="2485" spans="1:22" s="275" customFormat="1" ht="12.75" x14ac:dyDescent="0.25">
      <c r="A2485" s="273"/>
      <c r="B2485" s="263"/>
      <c r="C2485" s="262"/>
      <c r="D2485" s="219"/>
      <c r="E2485" s="248" t="s">
        <v>3352</v>
      </c>
      <c r="F2485" s="263"/>
      <c r="G2485" s="216"/>
      <c r="H2485" s="264"/>
      <c r="I2485" s="221"/>
      <c r="J2485" s="265"/>
      <c r="K2485" s="266"/>
      <c r="L2485" s="266"/>
      <c r="M2485" s="274"/>
      <c r="N2485" s="274"/>
      <c r="O2485" s="274"/>
      <c r="S2485" s="276"/>
      <c r="T2485" s="276"/>
      <c r="U2485" s="276"/>
      <c r="V2485" s="276"/>
    </row>
    <row r="2486" spans="1:22" s="63" customFormat="1" ht="15" x14ac:dyDescent="0.25">
      <c r="A2486" s="87">
        <v>18.43</v>
      </c>
      <c r="B2486" s="81" t="s">
        <v>67</v>
      </c>
      <c r="C2486" s="82">
        <v>14</v>
      </c>
      <c r="D2486" s="131" t="s">
        <v>1364</v>
      </c>
      <c r="E2486" s="83" t="s">
        <v>1365</v>
      </c>
      <c r="F2486" s="81" t="s">
        <v>354</v>
      </c>
      <c r="G2486" s="80">
        <v>0.6</v>
      </c>
      <c r="H2486" s="85"/>
      <c r="I2486" s="86">
        <v>10108.049999999999</v>
      </c>
      <c r="J2486" s="185">
        <f t="shared" ref="J2486:J2515" si="236">ROUND($I2486/$G2486*$N$11,2)</f>
        <v>19181.71</v>
      </c>
      <c r="K2486" s="189">
        <f t="shared" ref="K2486:K2515" si="237">ROUND(G2486*J2486,2)</f>
        <v>11509.03</v>
      </c>
      <c r="L2486" s="189"/>
      <c r="M2486" s="138"/>
      <c r="N2486" s="138"/>
      <c r="O2486" s="138"/>
      <c r="S2486" s="72"/>
      <c r="T2486" s="72"/>
      <c r="U2486" s="72"/>
      <c r="V2486" s="72"/>
    </row>
    <row r="2487" spans="1:22" s="63" customFormat="1" ht="22.5" x14ac:dyDescent="0.25">
      <c r="A2487" s="87">
        <v>18.440000000000001</v>
      </c>
      <c r="B2487" s="81" t="s">
        <v>67</v>
      </c>
      <c r="C2487" s="80">
        <v>14.1</v>
      </c>
      <c r="D2487" s="131" t="s">
        <v>2259</v>
      </c>
      <c r="E2487" s="83" t="s">
        <v>2260</v>
      </c>
      <c r="F2487" s="81" t="s">
        <v>772</v>
      </c>
      <c r="G2487" s="82">
        <v>6</v>
      </c>
      <c r="H2487" s="85"/>
      <c r="I2487" s="86">
        <v>5202.26</v>
      </c>
      <c r="J2487" s="185">
        <f t="shared" si="236"/>
        <v>987.22</v>
      </c>
      <c r="K2487" s="189">
        <f t="shared" si="237"/>
        <v>5923.32</v>
      </c>
      <c r="L2487" s="189"/>
      <c r="M2487" s="138"/>
      <c r="N2487" s="138"/>
      <c r="O2487" s="138"/>
      <c r="S2487" s="72"/>
      <c r="T2487" s="72"/>
      <c r="U2487" s="72"/>
      <c r="V2487" s="72"/>
    </row>
    <row r="2488" spans="1:22" s="63" customFormat="1" ht="22.5" x14ac:dyDescent="0.25">
      <c r="A2488" s="87">
        <v>18.45</v>
      </c>
      <c r="B2488" s="81" t="s">
        <v>67</v>
      </c>
      <c r="C2488" s="80">
        <v>14.2</v>
      </c>
      <c r="D2488" s="131" t="s">
        <v>2261</v>
      </c>
      <c r="E2488" s="83" t="s">
        <v>2262</v>
      </c>
      <c r="F2488" s="81" t="s">
        <v>216</v>
      </c>
      <c r="G2488" s="80">
        <v>0.6</v>
      </c>
      <c r="H2488" s="85"/>
      <c r="I2488" s="86">
        <v>724.61</v>
      </c>
      <c r="J2488" s="185">
        <f t="shared" si="236"/>
        <v>1375.07</v>
      </c>
      <c r="K2488" s="189">
        <f t="shared" si="237"/>
        <v>825.04</v>
      </c>
      <c r="L2488" s="189"/>
      <c r="M2488" s="138"/>
      <c r="N2488" s="138"/>
      <c r="O2488" s="138"/>
      <c r="S2488" s="72"/>
      <c r="T2488" s="72"/>
      <c r="U2488" s="72"/>
      <c r="V2488" s="72"/>
    </row>
    <row r="2489" spans="1:22" s="63" customFormat="1" ht="15" x14ac:dyDescent="0.25">
      <c r="A2489" s="87">
        <v>18.46</v>
      </c>
      <c r="B2489" s="81" t="s">
        <v>67</v>
      </c>
      <c r="C2489" s="82">
        <v>15</v>
      </c>
      <c r="D2489" s="131" t="s">
        <v>995</v>
      </c>
      <c r="E2489" s="83" t="s">
        <v>996</v>
      </c>
      <c r="F2489" s="81" t="s">
        <v>354</v>
      </c>
      <c r="G2489" s="82">
        <v>20</v>
      </c>
      <c r="H2489" s="85"/>
      <c r="I2489" s="86">
        <v>324064.94</v>
      </c>
      <c r="J2489" s="185">
        <f t="shared" si="236"/>
        <v>18449.02</v>
      </c>
      <c r="K2489" s="189">
        <f t="shared" si="237"/>
        <v>368980.4</v>
      </c>
      <c r="L2489" s="189"/>
      <c r="M2489" s="138"/>
      <c r="N2489" s="138"/>
      <c r="O2489" s="138"/>
      <c r="S2489" s="72"/>
      <c r="T2489" s="72"/>
      <c r="U2489" s="72"/>
      <c r="V2489" s="72"/>
    </row>
    <row r="2490" spans="1:22" s="63" customFormat="1" ht="22.5" x14ac:dyDescent="0.25">
      <c r="A2490" s="87">
        <v>18.47</v>
      </c>
      <c r="B2490" s="81" t="s">
        <v>67</v>
      </c>
      <c r="C2490" s="80">
        <v>15.1</v>
      </c>
      <c r="D2490" s="131" t="s">
        <v>2263</v>
      </c>
      <c r="E2490" s="83" t="s">
        <v>2264</v>
      </c>
      <c r="F2490" s="81" t="s">
        <v>354</v>
      </c>
      <c r="G2490" s="82">
        <v>20</v>
      </c>
      <c r="H2490" s="85"/>
      <c r="I2490" s="86">
        <v>30369.599999999999</v>
      </c>
      <c r="J2490" s="185">
        <f t="shared" si="236"/>
        <v>1728.94</v>
      </c>
      <c r="K2490" s="189">
        <f t="shared" si="237"/>
        <v>34578.800000000003</v>
      </c>
      <c r="L2490" s="189"/>
      <c r="M2490" s="138"/>
      <c r="N2490" s="138"/>
      <c r="O2490" s="138"/>
      <c r="S2490" s="72"/>
      <c r="T2490" s="72"/>
      <c r="U2490" s="72"/>
      <c r="V2490" s="72"/>
    </row>
    <row r="2491" spans="1:22" s="63" customFormat="1" ht="33.75" x14ac:dyDescent="0.25">
      <c r="A2491" s="87">
        <v>18.48</v>
      </c>
      <c r="B2491" s="81" t="s">
        <v>67</v>
      </c>
      <c r="C2491" s="82">
        <v>16</v>
      </c>
      <c r="D2491" s="131" t="s">
        <v>2123</v>
      </c>
      <c r="E2491" s="83" t="s">
        <v>2265</v>
      </c>
      <c r="F2491" s="81" t="s">
        <v>354</v>
      </c>
      <c r="G2491" s="80">
        <v>0.6</v>
      </c>
      <c r="H2491" s="85"/>
      <c r="I2491" s="86">
        <v>2710.29</v>
      </c>
      <c r="J2491" s="185">
        <f t="shared" si="236"/>
        <v>5143.2299999999996</v>
      </c>
      <c r="K2491" s="189">
        <f t="shared" si="237"/>
        <v>3085.94</v>
      </c>
      <c r="L2491" s="189"/>
      <c r="M2491" s="138"/>
      <c r="N2491" s="138"/>
      <c r="O2491" s="138"/>
      <c r="S2491" s="72"/>
      <c r="T2491" s="72"/>
      <c r="U2491" s="72"/>
      <c r="V2491" s="72"/>
    </row>
    <row r="2492" spans="1:22" s="63" customFormat="1" ht="22.5" x14ac:dyDescent="0.25">
      <c r="A2492" s="87">
        <v>18.489999999999998</v>
      </c>
      <c r="B2492" s="81" t="s">
        <v>67</v>
      </c>
      <c r="C2492" s="80">
        <v>16.100000000000001</v>
      </c>
      <c r="D2492" s="131" t="s">
        <v>2266</v>
      </c>
      <c r="E2492" s="83" t="s">
        <v>3992</v>
      </c>
      <c r="F2492" s="81" t="s">
        <v>334</v>
      </c>
      <c r="G2492" s="80">
        <v>61.2</v>
      </c>
      <c r="H2492" s="85"/>
      <c r="I2492" s="86">
        <v>5274.19</v>
      </c>
      <c r="J2492" s="185">
        <f t="shared" si="236"/>
        <v>98.12</v>
      </c>
      <c r="K2492" s="189">
        <f t="shared" si="237"/>
        <v>6004.94</v>
      </c>
      <c r="L2492" s="189"/>
      <c r="M2492" s="138"/>
      <c r="N2492" s="138"/>
      <c r="O2492" s="138"/>
      <c r="S2492" s="72"/>
      <c r="T2492" s="72"/>
      <c r="U2492" s="72"/>
      <c r="V2492" s="72"/>
    </row>
    <row r="2493" spans="1:22" s="63" customFormat="1" ht="15" x14ac:dyDescent="0.25">
      <c r="A2493" s="87">
        <v>18.5</v>
      </c>
      <c r="B2493" s="81" t="s">
        <v>67</v>
      </c>
      <c r="C2493" s="82">
        <v>17</v>
      </c>
      <c r="D2493" s="131" t="s">
        <v>1048</v>
      </c>
      <c r="E2493" s="83" t="s">
        <v>1049</v>
      </c>
      <c r="F2493" s="81" t="s">
        <v>354</v>
      </c>
      <c r="G2493" s="87">
        <v>25.05</v>
      </c>
      <c r="H2493" s="85"/>
      <c r="I2493" s="86">
        <v>72644.72</v>
      </c>
      <c r="J2493" s="185">
        <f t="shared" si="236"/>
        <v>3301.93</v>
      </c>
      <c r="K2493" s="189">
        <f t="shared" si="237"/>
        <v>82713.350000000006</v>
      </c>
      <c r="L2493" s="189"/>
      <c r="M2493" s="138"/>
      <c r="N2493" s="138"/>
      <c r="O2493" s="138"/>
      <c r="S2493" s="72"/>
      <c r="T2493" s="72"/>
      <c r="U2493" s="72"/>
      <c r="V2493" s="72"/>
    </row>
    <row r="2494" spans="1:22" s="63" customFormat="1" ht="22.5" x14ac:dyDescent="0.25">
      <c r="A2494" s="87">
        <v>18.510000000000002</v>
      </c>
      <c r="B2494" s="81" t="s">
        <v>67</v>
      </c>
      <c r="C2494" s="80">
        <v>17.100000000000001</v>
      </c>
      <c r="D2494" s="131" t="s">
        <v>2267</v>
      </c>
      <c r="E2494" s="83" t="s">
        <v>3557</v>
      </c>
      <c r="F2494" s="81" t="s">
        <v>334</v>
      </c>
      <c r="G2494" s="80">
        <v>20.399999999999999</v>
      </c>
      <c r="H2494" s="85"/>
      <c r="I2494" s="86">
        <v>1215.23</v>
      </c>
      <c r="J2494" s="185">
        <f t="shared" si="236"/>
        <v>67.83</v>
      </c>
      <c r="K2494" s="189">
        <f t="shared" si="237"/>
        <v>1383.73</v>
      </c>
      <c r="L2494" s="189"/>
      <c r="M2494" s="138"/>
      <c r="N2494" s="138"/>
      <c r="O2494" s="138"/>
      <c r="S2494" s="72"/>
      <c r="T2494" s="72"/>
      <c r="U2494" s="72"/>
      <c r="V2494" s="72"/>
    </row>
    <row r="2495" spans="1:22" s="63" customFormat="1" ht="22.5" x14ac:dyDescent="0.25">
      <c r="A2495" s="87">
        <v>18.52</v>
      </c>
      <c r="B2495" s="81" t="s">
        <v>67</v>
      </c>
      <c r="C2495" s="80">
        <v>17.2</v>
      </c>
      <c r="D2495" s="131" t="s">
        <v>2268</v>
      </c>
      <c r="E2495" s="83" t="s">
        <v>3560</v>
      </c>
      <c r="F2495" s="81" t="s">
        <v>334</v>
      </c>
      <c r="G2495" s="80">
        <v>1892.1</v>
      </c>
      <c r="H2495" s="85"/>
      <c r="I2495" s="86">
        <v>62974.03</v>
      </c>
      <c r="J2495" s="185">
        <f t="shared" si="236"/>
        <v>37.9</v>
      </c>
      <c r="K2495" s="189">
        <f t="shared" si="237"/>
        <v>71710.59</v>
      </c>
      <c r="L2495" s="189"/>
      <c r="M2495" s="138"/>
      <c r="N2495" s="138"/>
      <c r="O2495" s="138"/>
      <c r="S2495" s="72"/>
      <c r="T2495" s="72"/>
      <c r="U2495" s="72"/>
      <c r="V2495" s="72"/>
    </row>
    <row r="2496" spans="1:22" s="63" customFormat="1" ht="22.5" x14ac:dyDescent="0.25">
      <c r="A2496" s="87">
        <v>18.53</v>
      </c>
      <c r="B2496" s="81" t="s">
        <v>67</v>
      </c>
      <c r="C2496" s="80">
        <v>17.3</v>
      </c>
      <c r="D2496" s="131" t="s">
        <v>2269</v>
      </c>
      <c r="E2496" s="83" t="s">
        <v>3993</v>
      </c>
      <c r="F2496" s="81" t="s">
        <v>334</v>
      </c>
      <c r="G2496" s="80">
        <v>397.8</v>
      </c>
      <c r="H2496" s="85"/>
      <c r="I2496" s="86">
        <v>50776.28</v>
      </c>
      <c r="J2496" s="185">
        <f t="shared" si="236"/>
        <v>145.33000000000001</v>
      </c>
      <c r="K2496" s="189">
        <f t="shared" si="237"/>
        <v>57812.27</v>
      </c>
      <c r="L2496" s="189"/>
      <c r="M2496" s="138"/>
      <c r="N2496" s="138"/>
      <c r="O2496" s="138"/>
      <c r="S2496" s="72"/>
      <c r="T2496" s="72"/>
      <c r="U2496" s="72"/>
      <c r="V2496" s="72"/>
    </row>
    <row r="2497" spans="1:22" s="63" customFormat="1" ht="22.5" x14ac:dyDescent="0.25">
      <c r="A2497" s="87">
        <v>18.54</v>
      </c>
      <c r="B2497" s="81" t="s">
        <v>67</v>
      </c>
      <c r="C2497" s="80">
        <v>17.399999999999999</v>
      </c>
      <c r="D2497" s="131" t="s">
        <v>2270</v>
      </c>
      <c r="E2497" s="83" t="s">
        <v>3994</v>
      </c>
      <c r="F2497" s="81" t="s">
        <v>334</v>
      </c>
      <c r="G2497" s="80">
        <v>45.9</v>
      </c>
      <c r="H2497" s="85"/>
      <c r="I2497" s="86">
        <v>3317.48</v>
      </c>
      <c r="J2497" s="185">
        <f t="shared" si="236"/>
        <v>82.29</v>
      </c>
      <c r="K2497" s="189">
        <f t="shared" si="237"/>
        <v>3777.11</v>
      </c>
      <c r="L2497" s="189"/>
      <c r="M2497" s="138"/>
      <c r="N2497" s="138"/>
      <c r="O2497" s="138"/>
      <c r="S2497" s="72"/>
      <c r="T2497" s="72"/>
      <c r="U2497" s="72"/>
      <c r="V2497" s="72"/>
    </row>
    <row r="2498" spans="1:22" s="63" customFormat="1" ht="15" x14ac:dyDescent="0.25">
      <c r="A2498" s="87">
        <v>18.55</v>
      </c>
      <c r="B2498" s="81" t="s">
        <v>67</v>
      </c>
      <c r="C2498" s="82">
        <v>18</v>
      </c>
      <c r="D2498" s="131" t="s">
        <v>2271</v>
      </c>
      <c r="E2498" s="83" t="s">
        <v>2272</v>
      </c>
      <c r="F2498" s="81" t="s">
        <v>354</v>
      </c>
      <c r="G2498" s="87">
        <v>2.95</v>
      </c>
      <c r="H2498" s="85"/>
      <c r="I2498" s="86">
        <v>129537.41</v>
      </c>
      <c r="J2498" s="185">
        <f t="shared" si="236"/>
        <v>49997.05</v>
      </c>
      <c r="K2498" s="189">
        <f t="shared" si="237"/>
        <v>147491.29999999999</v>
      </c>
      <c r="L2498" s="189"/>
      <c r="M2498" s="138"/>
      <c r="N2498" s="138"/>
      <c r="O2498" s="138"/>
      <c r="S2498" s="72"/>
      <c r="T2498" s="72"/>
      <c r="U2498" s="72"/>
      <c r="V2498" s="72"/>
    </row>
    <row r="2499" spans="1:22" s="63" customFormat="1" ht="22.5" x14ac:dyDescent="0.25">
      <c r="A2499" s="87">
        <v>18.559999999999999</v>
      </c>
      <c r="B2499" s="81" t="s">
        <v>67</v>
      </c>
      <c r="C2499" s="80">
        <v>18.100000000000001</v>
      </c>
      <c r="D2499" s="131" t="s">
        <v>2273</v>
      </c>
      <c r="E2499" s="83" t="s">
        <v>3995</v>
      </c>
      <c r="F2499" s="81" t="s">
        <v>334</v>
      </c>
      <c r="G2499" s="80">
        <v>147.9</v>
      </c>
      <c r="H2499" s="85"/>
      <c r="I2499" s="86">
        <v>5420.35</v>
      </c>
      <c r="J2499" s="185">
        <f t="shared" si="236"/>
        <v>41.73</v>
      </c>
      <c r="K2499" s="189">
        <f t="shared" si="237"/>
        <v>6171.87</v>
      </c>
      <c r="L2499" s="189"/>
      <c r="M2499" s="138"/>
      <c r="N2499" s="138"/>
      <c r="O2499" s="138"/>
      <c r="S2499" s="72"/>
      <c r="T2499" s="72"/>
      <c r="U2499" s="72"/>
      <c r="V2499" s="72"/>
    </row>
    <row r="2500" spans="1:22" s="63" customFormat="1" ht="22.5" x14ac:dyDescent="0.25">
      <c r="A2500" s="87">
        <v>18.57</v>
      </c>
      <c r="B2500" s="81" t="s">
        <v>67</v>
      </c>
      <c r="C2500" s="80">
        <v>18.2</v>
      </c>
      <c r="D2500" s="131" t="s">
        <v>2274</v>
      </c>
      <c r="E2500" s="83" t="s">
        <v>3996</v>
      </c>
      <c r="F2500" s="81" t="s">
        <v>334</v>
      </c>
      <c r="G2500" s="82">
        <v>153</v>
      </c>
      <c r="H2500" s="85"/>
      <c r="I2500" s="86">
        <v>2130.2199999999998</v>
      </c>
      <c r="J2500" s="185">
        <f t="shared" si="236"/>
        <v>15.85</v>
      </c>
      <c r="K2500" s="189">
        <f t="shared" si="237"/>
        <v>2425.0500000000002</v>
      </c>
      <c r="L2500" s="189"/>
      <c r="M2500" s="138"/>
      <c r="N2500" s="138"/>
      <c r="O2500" s="138"/>
      <c r="S2500" s="72"/>
      <c r="T2500" s="72"/>
      <c r="U2500" s="72"/>
      <c r="V2500" s="72"/>
    </row>
    <row r="2501" spans="1:22" s="63" customFormat="1" ht="33.75" x14ac:dyDescent="0.25">
      <c r="A2501" s="87">
        <v>18.579999999999998</v>
      </c>
      <c r="B2501" s="81" t="s">
        <v>67</v>
      </c>
      <c r="C2501" s="80">
        <v>18.3</v>
      </c>
      <c r="D2501" s="131" t="s">
        <v>2275</v>
      </c>
      <c r="E2501" s="83" t="s">
        <v>3997</v>
      </c>
      <c r="F2501" s="81" t="s">
        <v>219</v>
      </c>
      <c r="G2501" s="82">
        <v>3</v>
      </c>
      <c r="H2501" s="85"/>
      <c r="I2501" s="86">
        <v>720.35</v>
      </c>
      <c r="J2501" s="185">
        <f t="shared" si="236"/>
        <v>273.39999999999998</v>
      </c>
      <c r="K2501" s="189">
        <f t="shared" si="237"/>
        <v>820.2</v>
      </c>
      <c r="L2501" s="189"/>
      <c r="M2501" s="138"/>
      <c r="N2501" s="138"/>
      <c r="O2501" s="138"/>
      <c r="S2501" s="72"/>
      <c r="T2501" s="72"/>
      <c r="U2501" s="72"/>
      <c r="V2501" s="72"/>
    </row>
    <row r="2502" spans="1:22" s="63" customFormat="1" ht="22.5" x14ac:dyDescent="0.25">
      <c r="A2502" s="87">
        <v>18.59</v>
      </c>
      <c r="B2502" s="81" t="s">
        <v>67</v>
      </c>
      <c r="C2502" s="80">
        <v>18.399999999999999</v>
      </c>
      <c r="D2502" s="131" t="s">
        <v>2276</v>
      </c>
      <c r="E2502" s="83" t="s">
        <v>3998</v>
      </c>
      <c r="F2502" s="81" t="s">
        <v>219</v>
      </c>
      <c r="G2502" s="82">
        <v>3</v>
      </c>
      <c r="H2502" s="85"/>
      <c r="I2502" s="86">
        <v>240.65</v>
      </c>
      <c r="J2502" s="185">
        <f t="shared" si="236"/>
        <v>91.33</v>
      </c>
      <c r="K2502" s="189">
        <f t="shared" si="237"/>
        <v>273.99</v>
      </c>
      <c r="L2502" s="189"/>
      <c r="M2502" s="138"/>
      <c r="N2502" s="138"/>
      <c r="O2502" s="138"/>
      <c r="S2502" s="72"/>
      <c r="T2502" s="72"/>
      <c r="U2502" s="72"/>
      <c r="V2502" s="72"/>
    </row>
    <row r="2503" spans="1:22" s="63" customFormat="1" ht="15" x14ac:dyDescent="0.25">
      <c r="A2503" s="87">
        <v>18.600000000000001</v>
      </c>
      <c r="B2503" s="81" t="s">
        <v>67</v>
      </c>
      <c r="C2503" s="80">
        <v>18.5</v>
      </c>
      <c r="D2503" s="131" t="s">
        <v>2277</v>
      </c>
      <c r="E2503" s="83" t="s">
        <v>3999</v>
      </c>
      <c r="F2503" s="81" t="s">
        <v>219</v>
      </c>
      <c r="G2503" s="82">
        <v>50</v>
      </c>
      <c r="H2503" s="85"/>
      <c r="I2503" s="86">
        <v>12604.63</v>
      </c>
      <c r="J2503" s="185">
        <f t="shared" si="236"/>
        <v>287.02999999999997</v>
      </c>
      <c r="K2503" s="189">
        <f t="shared" si="237"/>
        <v>14351.5</v>
      </c>
      <c r="L2503" s="189"/>
      <c r="M2503" s="138"/>
      <c r="N2503" s="138"/>
      <c r="O2503" s="138"/>
      <c r="S2503" s="72"/>
      <c r="T2503" s="72"/>
      <c r="U2503" s="72"/>
      <c r="V2503" s="72"/>
    </row>
    <row r="2504" spans="1:22" s="63" customFormat="1" ht="22.5" x14ac:dyDescent="0.25">
      <c r="A2504" s="87">
        <v>18.61</v>
      </c>
      <c r="B2504" s="81" t="s">
        <v>67</v>
      </c>
      <c r="C2504" s="82">
        <v>19</v>
      </c>
      <c r="D2504" s="131" t="s">
        <v>1441</v>
      </c>
      <c r="E2504" s="83" t="s">
        <v>1442</v>
      </c>
      <c r="F2504" s="81" t="s">
        <v>354</v>
      </c>
      <c r="G2504" s="87">
        <v>0.05</v>
      </c>
      <c r="H2504" s="85"/>
      <c r="I2504" s="86">
        <v>1200.8800000000001</v>
      </c>
      <c r="J2504" s="185">
        <f t="shared" si="236"/>
        <v>27346.44</v>
      </c>
      <c r="K2504" s="189">
        <f t="shared" si="237"/>
        <v>1367.32</v>
      </c>
      <c r="L2504" s="189"/>
      <c r="M2504" s="138"/>
      <c r="N2504" s="138"/>
      <c r="O2504" s="138"/>
      <c r="S2504" s="72"/>
      <c r="T2504" s="72"/>
      <c r="U2504" s="72"/>
      <c r="V2504" s="72"/>
    </row>
    <row r="2505" spans="1:22" s="63" customFormat="1" ht="22.5" x14ac:dyDescent="0.25">
      <c r="A2505" s="87">
        <v>18.62</v>
      </c>
      <c r="B2505" s="81" t="s">
        <v>67</v>
      </c>
      <c r="C2505" s="80">
        <v>19.100000000000001</v>
      </c>
      <c r="D2505" s="131" t="s">
        <v>224</v>
      </c>
      <c r="E2505" s="83" t="s">
        <v>225</v>
      </c>
      <c r="F2505" s="81" t="s">
        <v>226</v>
      </c>
      <c r="G2505" s="90">
        <v>1.9750000000000002E-3</v>
      </c>
      <c r="H2505" s="85"/>
      <c r="I2505" s="86">
        <v>97.5</v>
      </c>
      <c r="J2505" s="185">
        <f t="shared" si="236"/>
        <v>56209.37</v>
      </c>
      <c r="K2505" s="189">
        <f t="shared" si="237"/>
        <v>111.01</v>
      </c>
      <c r="L2505" s="189"/>
      <c r="M2505" s="138"/>
      <c r="N2505" s="138"/>
      <c r="O2505" s="138"/>
      <c r="S2505" s="72"/>
      <c r="T2505" s="72"/>
      <c r="U2505" s="72"/>
      <c r="V2505" s="72"/>
    </row>
    <row r="2506" spans="1:22" s="63" customFormat="1" ht="22.5" x14ac:dyDescent="0.25">
      <c r="A2506" s="87">
        <v>18.63</v>
      </c>
      <c r="B2506" s="81" t="s">
        <v>67</v>
      </c>
      <c r="C2506" s="82">
        <v>20</v>
      </c>
      <c r="D2506" s="131" t="s">
        <v>2278</v>
      </c>
      <c r="E2506" s="83" t="s">
        <v>2279</v>
      </c>
      <c r="F2506" s="81" t="s">
        <v>219</v>
      </c>
      <c r="G2506" s="82">
        <v>1</v>
      </c>
      <c r="H2506" s="85"/>
      <c r="I2506" s="86">
        <v>515.20000000000005</v>
      </c>
      <c r="J2506" s="185">
        <f t="shared" si="236"/>
        <v>586.61</v>
      </c>
      <c r="K2506" s="189">
        <f t="shared" si="237"/>
        <v>586.61</v>
      </c>
      <c r="L2506" s="189"/>
      <c r="M2506" s="138"/>
      <c r="N2506" s="138"/>
      <c r="O2506" s="138"/>
      <c r="S2506" s="72"/>
      <c r="T2506" s="72"/>
      <c r="U2506" s="72"/>
      <c r="V2506" s="72"/>
    </row>
    <row r="2507" spans="1:22" s="63" customFormat="1" ht="15" x14ac:dyDescent="0.25">
      <c r="A2507" s="87">
        <v>18.64</v>
      </c>
      <c r="B2507" s="81" t="s">
        <v>67</v>
      </c>
      <c r="C2507" s="80">
        <v>20.100000000000001</v>
      </c>
      <c r="D2507" s="131" t="s">
        <v>2280</v>
      </c>
      <c r="E2507" s="83" t="s">
        <v>4000</v>
      </c>
      <c r="F2507" s="81" t="s">
        <v>219</v>
      </c>
      <c r="G2507" s="82">
        <v>1</v>
      </c>
      <c r="H2507" s="85"/>
      <c r="I2507" s="86">
        <v>3596.04</v>
      </c>
      <c r="J2507" s="185">
        <f t="shared" si="236"/>
        <v>4094.45</v>
      </c>
      <c r="K2507" s="189">
        <f t="shared" si="237"/>
        <v>4094.45</v>
      </c>
      <c r="L2507" s="189"/>
      <c r="M2507" s="138"/>
      <c r="N2507" s="138"/>
      <c r="O2507" s="138"/>
      <c r="S2507" s="72"/>
      <c r="T2507" s="72"/>
      <c r="U2507" s="72"/>
      <c r="V2507" s="72"/>
    </row>
    <row r="2508" spans="1:22" s="63" customFormat="1" ht="22.5" x14ac:dyDescent="0.25">
      <c r="A2508" s="87">
        <v>18.649999999999999</v>
      </c>
      <c r="B2508" s="81" t="s">
        <v>67</v>
      </c>
      <c r="C2508" s="82">
        <v>21</v>
      </c>
      <c r="D2508" s="131" t="s">
        <v>783</v>
      </c>
      <c r="E2508" s="83" t="s">
        <v>784</v>
      </c>
      <c r="F2508" s="81" t="s">
        <v>219</v>
      </c>
      <c r="G2508" s="82">
        <v>2</v>
      </c>
      <c r="H2508" s="85"/>
      <c r="I2508" s="86">
        <v>6552.38</v>
      </c>
      <c r="J2508" s="185">
        <f t="shared" si="236"/>
        <v>3730.27</v>
      </c>
      <c r="K2508" s="189">
        <f t="shared" si="237"/>
        <v>7460.54</v>
      </c>
      <c r="L2508" s="189"/>
      <c r="M2508" s="138"/>
      <c r="N2508" s="138"/>
      <c r="O2508" s="138"/>
      <c r="S2508" s="72"/>
      <c r="T2508" s="72"/>
      <c r="U2508" s="72"/>
      <c r="V2508" s="72"/>
    </row>
    <row r="2509" spans="1:22" s="63" customFormat="1" ht="22.5" x14ac:dyDescent="0.25">
      <c r="A2509" s="87">
        <v>18.66</v>
      </c>
      <c r="B2509" s="81" t="s">
        <v>67</v>
      </c>
      <c r="C2509" s="80">
        <v>21.1</v>
      </c>
      <c r="D2509" s="131" t="s">
        <v>2281</v>
      </c>
      <c r="E2509" s="83" t="s">
        <v>2282</v>
      </c>
      <c r="F2509" s="81" t="s">
        <v>219</v>
      </c>
      <c r="G2509" s="82">
        <v>1</v>
      </c>
      <c r="H2509" s="85"/>
      <c r="I2509" s="86">
        <v>1608.61</v>
      </c>
      <c r="J2509" s="185">
        <f t="shared" si="236"/>
        <v>1831.56</v>
      </c>
      <c r="K2509" s="189">
        <f t="shared" si="237"/>
        <v>1831.56</v>
      </c>
      <c r="L2509" s="189"/>
      <c r="M2509" s="138"/>
      <c r="N2509" s="138"/>
      <c r="O2509" s="138"/>
      <c r="S2509" s="72"/>
      <c r="T2509" s="72"/>
      <c r="U2509" s="72"/>
      <c r="V2509" s="72"/>
    </row>
    <row r="2510" spans="1:22" s="63" customFormat="1" ht="22.5" x14ac:dyDescent="0.25">
      <c r="A2510" s="87">
        <v>18.670000000000002</v>
      </c>
      <c r="B2510" s="81" t="s">
        <v>67</v>
      </c>
      <c r="C2510" s="80">
        <v>21.2</v>
      </c>
      <c r="D2510" s="131" t="s">
        <v>2283</v>
      </c>
      <c r="E2510" s="83" t="s">
        <v>2284</v>
      </c>
      <c r="F2510" s="81" t="s">
        <v>219</v>
      </c>
      <c r="G2510" s="82">
        <v>1</v>
      </c>
      <c r="H2510" s="85"/>
      <c r="I2510" s="86">
        <v>4154.24</v>
      </c>
      <c r="J2510" s="185">
        <f t="shared" si="236"/>
        <v>4730.0200000000004</v>
      </c>
      <c r="K2510" s="189">
        <f t="shared" si="237"/>
        <v>4730.0200000000004</v>
      </c>
      <c r="L2510" s="189"/>
      <c r="M2510" s="138"/>
      <c r="N2510" s="138"/>
      <c r="O2510" s="138"/>
      <c r="S2510" s="72"/>
      <c r="T2510" s="72"/>
      <c r="U2510" s="72"/>
      <c r="V2510" s="72"/>
    </row>
    <row r="2511" spans="1:22" s="63" customFormat="1" ht="22.5" x14ac:dyDescent="0.25">
      <c r="A2511" s="87">
        <v>18.68</v>
      </c>
      <c r="B2511" s="81" t="s">
        <v>67</v>
      </c>
      <c r="C2511" s="82">
        <v>22</v>
      </c>
      <c r="D2511" s="131" t="s">
        <v>2285</v>
      </c>
      <c r="E2511" s="83" t="s">
        <v>2286</v>
      </c>
      <c r="F2511" s="81" t="s">
        <v>219</v>
      </c>
      <c r="G2511" s="82">
        <v>1</v>
      </c>
      <c r="H2511" s="85"/>
      <c r="I2511" s="86">
        <v>5307.21</v>
      </c>
      <c r="J2511" s="185">
        <f t="shared" si="236"/>
        <v>6042.79</v>
      </c>
      <c r="K2511" s="189">
        <f t="shared" si="237"/>
        <v>6042.79</v>
      </c>
      <c r="L2511" s="189"/>
      <c r="M2511" s="138"/>
      <c r="N2511" s="138"/>
      <c r="O2511" s="138"/>
      <c r="S2511" s="72"/>
      <c r="T2511" s="72"/>
      <c r="U2511" s="72"/>
      <c r="V2511" s="72"/>
    </row>
    <row r="2512" spans="1:22" s="63" customFormat="1" ht="33.75" x14ac:dyDescent="0.25">
      <c r="A2512" s="87">
        <v>18.690000000000001</v>
      </c>
      <c r="B2512" s="81" t="s">
        <v>67</v>
      </c>
      <c r="C2512" s="80">
        <v>22.1</v>
      </c>
      <c r="D2512" s="131" t="s">
        <v>2287</v>
      </c>
      <c r="E2512" s="83" t="s">
        <v>4001</v>
      </c>
      <c r="F2512" s="81" t="s">
        <v>219</v>
      </c>
      <c r="G2512" s="82">
        <v>1</v>
      </c>
      <c r="H2512" s="85"/>
      <c r="I2512" s="86">
        <v>2957.48</v>
      </c>
      <c r="J2512" s="185">
        <f t="shared" si="236"/>
        <v>3367.39</v>
      </c>
      <c r="K2512" s="189">
        <f t="shared" si="237"/>
        <v>3367.39</v>
      </c>
      <c r="L2512" s="189"/>
      <c r="M2512" s="138"/>
      <c r="N2512" s="138"/>
      <c r="O2512" s="138"/>
      <c r="S2512" s="72"/>
      <c r="T2512" s="72"/>
      <c r="U2512" s="72"/>
      <c r="V2512" s="72"/>
    </row>
    <row r="2513" spans="1:22" s="63" customFormat="1" ht="22.5" x14ac:dyDescent="0.25">
      <c r="A2513" s="87">
        <v>18.7</v>
      </c>
      <c r="B2513" s="81" t="s">
        <v>67</v>
      </c>
      <c r="C2513" s="82">
        <v>23</v>
      </c>
      <c r="D2513" s="131" t="s">
        <v>2288</v>
      </c>
      <c r="E2513" s="83" t="s">
        <v>2289</v>
      </c>
      <c r="F2513" s="81" t="s">
        <v>219</v>
      </c>
      <c r="G2513" s="82">
        <v>70</v>
      </c>
      <c r="H2513" s="85"/>
      <c r="I2513" s="86">
        <v>39628.47</v>
      </c>
      <c r="J2513" s="185">
        <f t="shared" si="236"/>
        <v>644.59</v>
      </c>
      <c r="K2513" s="189">
        <f t="shared" si="237"/>
        <v>45121.3</v>
      </c>
      <c r="L2513" s="189"/>
      <c r="M2513" s="138"/>
      <c r="N2513" s="138"/>
      <c r="O2513" s="138"/>
      <c r="S2513" s="72"/>
      <c r="T2513" s="72"/>
      <c r="U2513" s="72"/>
      <c r="V2513" s="72"/>
    </row>
    <row r="2514" spans="1:22" s="63" customFormat="1" ht="22.5" x14ac:dyDescent="0.25">
      <c r="A2514" s="87">
        <v>18.71</v>
      </c>
      <c r="B2514" s="81" t="s">
        <v>67</v>
      </c>
      <c r="C2514" s="82">
        <v>24</v>
      </c>
      <c r="D2514" s="131" t="s">
        <v>1056</v>
      </c>
      <c r="E2514" s="83" t="s">
        <v>1057</v>
      </c>
      <c r="F2514" s="81" t="s">
        <v>219</v>
      </c>
      <c r="G2514" s="82">
        <v>20</v>
      </c>
      <c r="H2514" s="85"/>
      <c r="I2514" s="86">
        <v>5238.5</v>
      </c>
      <c r="J2514" s="185">
        <f t="shared" si="236"/>
        <v>298.23</v>
      </c>
      <c r="K2514" s="189">
        <f t="shared" si="237"/>
        <v>5964.6</v>
      </c>
      <c r="L2514" s="189"/>
      <c r="M2514" s="138"/>
      <c r="N2514" s="138"/>
      <c r="O2514" s="138"/>
      <c r="S2514" s="72"/>
      <c r="T2514" s="72"/>
      <c r="U2514" s="72"/>
      <c r="V2514" s="72"/>
    </row>
    <row r="2515" spans="1:22" s="63" customFormat="1" ht="15" x14ac:dyDescent="0.25">
      <c r="A2515" s="87">
        <v>18.72</v>
      </c>
      <c r="B2515" s="81" t="s">
        <v>67</v>
      </c>
      <c r="C2515" s="82">
        <v>25</v>
      </c>
      <c r="D2515" s="131" t="s">
        <v>1058</v>
      </c>
      <c r="E2515" s="83" t="s">
        <v>1059</v>
      </c>
      <c r="F2515" s="81" t="s">
        <v>216</v>
      </c>
      <c r="G2515" s="87">
        <v>0.72</v>
      </c>
      <c r="H2515" s="85"/>
      <c r="I2515" s="86">
        <v>6877.74</v>
      </c>
      <c r="J2515" s="185">
        <f t="shared" si="236"/>
        <v>10876.38</v>
      </c>
      <c r="K2515" s="189">
        <f t="shared" si="237"/>
        <v>7830.99</v>
      </c>
      <c r="L2515" s="189"/>
      <c r="M2515" s="138"/>
      <c r="N2515" s="138"/>
      <c r="O2515" s="138"/>
      <c r="S2515" s="72"/>
      <c r="T2515" s="72"/>
      <c r="U2515" s="72"/>
      <c r="V2515" s="72"/>
    </row>
    <row r="2516" spans="1:22" s="63" customFormat="1" ht="15" x14ac:dyDescent="0.25">
      <c r="A2516" s="194">
        <v>19</v>
      </c>
      <c r="B2516" s="418" t="s">
        <v>2290</v>
      </c>
      <c r="C2516" s="418"/>
      <c r="D2516" s="418"/>
      <c r="E2516" s="195" t="s">
        <v>73</v>
      </c>
      <c r="F2516" s="196"/>
      <c r="G2516" s="194">
        <v>1</v>
      </c>
      <c r="H2516" s="197">
        <v>13935210.09</v>
      </c>
      <c r="I2516" s="355">
        <f>SUM(I2519:I2539)</f>
        <v>13935210.1</v>
      </c>
      <c r="J2516" s="200"/>
      <c r="K2516" s="198">
        <f>SUM(K2519:K2539)</f>
        <v>15594693.279999999</v>
      </c>
      <c r="L2516" s="198"/>
      <c r="M2516" s="207"/>
      <c r="N2516" s="209"/>
      <c r="O2516" s="138"/>
      <c r="S2516" s="72"/>
      <c r="T2516" s="72"/>
      <c r="U2516" s="72"/>
      <c r="V2516" s="72"/>
    </row>
    <row r="2517" spans="1:22" s="63" customFormat="1" ht="15" x14ac:dyDescent="0.25">
      <c r="A2517" s="91"/>
      <c r="B2517" s="92"/>
      <c r="C2517" s="92"/>
      <c r="D2517" s="166"/>
      <c r="E2517" s="93" t="s">
        <v>651</v>
      </c>
      <c r="F2517" s="94"/>
      <c r="G2517" s="91"/>
      <c r="H2517" s="95"/>
      <c r="I2517" s="96">
        <f>I2539</f>
        <v>13529189.76</v>
      </c>
      <c r="J2517" s="191"/>
      <c r="K2517" s="96">
        <f>K2539</f>
        <v>15132398.75</v>
      </c>
      <c r="L2517" s="96"/>
      <c r="M2517" s="207"/>
      <c r="N2517" s="209"/>
      <c r="O2517" s="138"/>
      <c r="S2517" s="72"/>
      <c r="T2517" s="72"/>
      <c r="U2517" s="72"/>
      <c r="V2517" s="72"/>
    </row>
    <row r="2518" spans="1:22" s="278" customFormat="1" ht="15" x14ac:dyDescent="0.25">
      <c r="A2518" s="216"/>
      <c r="B2518" s="217"/>
      <c r="C2518" s="217"/>
      <c r="D2518" s="248"/>
      <c r="E2518" s="218" t="s">
        <v>3200</v>
      </c>
      <c r="F2518" s="219"/>
      <c r="G2518" s="216"/>
      <c r="H2518" s="220"/>
      <c r="I2518" s="221"/>
      <c r="J2518" s="244"/>
      <c r="K2518" s="221"/>
      <c r="L2518" s="221"/>
      <c r="M2518" s="222"/>
      <c r="N2518" s="223"/>
      <c r="O2518" s="245"/>
      <c r="S2518" s="225"/>
      <c r="T2518" s="225"/>
      <c r="U2518" s="225"/>
      <c r="V2518" s="225"/>
    </row>
    <row r="2519" spans="1:22" s="63" customFormat="1" ht="22.5" x14ac:dyDescent="0.25">
      <c r="A2519" s="80">
        <v>19.100000000000001</v>
      </c>
      <c r="B2519" s="81" t="s">
        <v>72</v>
      </c>
      <c r="C2519" s="82">
        <v>5</v>
      </c>
      <c r="D2519" s="131" t="s">
        <v>2291</v>
      </c>
      <c r="E2519" s="83" t="s">
        <v>2292</v>
      </c>
      <c r="F2519" s="81" t="s">
        <v>193</v>
      </c>
      <c r="G2519" s="89">
        <v>0.16814000000000001</v>
      </c>
      <c r="H2519" s="85"/>
      <c r="I2519" s="86">
        <f>1338.37+0.01</f>
        <v>1338.3799999999999</v>
      </c>
      <c r="J2519" s="185">
        <f>ROUND($I2519/$G2519*$N$11,2)</f>
        <v>9063.16</v>
      </c>
      <c r="K2519" s="189">
        <f>ROUND(G2519*J2519,2)</f>
        <v>1523.88</v>
      </c>
      <c r="L2519" s="189"/>
      <c r="M2519" s="138"/>
      <c r="N2519" s="138"/>
      <c r="O2519" s="138"/>
      <c r="S2519" s="72"/>
      <c r="T2519" s="72"/>
      <c r="U2519" s="72"/>
      <c r="V2519" s="72"/>
    </row>
    <row r="2520" spans="1:22" s="63" customFormat="1" ht="22.5" x14ac:dyDescent="0.25">
      <c r="A2520" s="80">
        <v>19.2</v>
      </c>
      <c r="B2520" s="81" t="s">
        <v>72</v>
      </c>
      <c r="C2520" s="80">
        <v>5.0999999999999996</v>
      </c>
      <c r="D2520" s="131" t="s">
        <v>2293</v>
      </c>
      <c r="E2520" s="83" t="s">
        <v>2294</v>
      </c>
      <c r="F2520" s="81" t="s">
        <v>205</v>
      </c>
      <c r="G2520" s="87">
        <v>168.14</v>
      </c>
      <c r="H2520" s="85"/>
      <c r="I2520" s="86">
        <v>203835.69</v>
      </c>
      <c r="J2520" s="185">
        <f>ROUND($I2520/$G2520*$N$11,2)</f>
        <v>1380.32</v>
      </c>
      <c r="K2520" s="189">
        <f>ROUND(G2520*J2520,2)</f>
        <v>232087</v>
      </c>
      <c r="L2520" s="189"/>
      <c r="M2520" s="138"/>
      <c r="N2520" s="138"/>
      <c r="O2520" s="138"/>
      <c r="S2520" s="72"/>
      <c r="T2520" s="72"/>
      <c r="U2520" s="72"/>
      <c r="V2520" s="72"/>
    </row>
    <row r="2521" spans="1:22" s="63" customFormat="1" ht="15" x14ac:dyDescent="0.25">
      <c r="A2521" s="80">
        <v>19.3</v>
      </c>
      <c r="B2521" s="81" t="s">
        <v>72</v>
      </c>
      <c r="C2521" s="82">
        <v>6</v>
      </c>
      <c r="D2521" s="131" t="s">
        <v>199</v>
      </c>
      <c r="E2521" s="83" t="s">
        <v>200</v>
      </c>
      <c r="F2521" s="81" t="s">
        <v>196</v>
      </c>
      <c r="G2521" s="88">
        <v>2.5600000000000001E-2</v>
      </c>
      <c r="H2521" s="85"/>
      <c r="I2521" s="86">
        <v>1780.46</v>
      </c>
      <c r="J2521" s="185">
        <f>ROUND($I2521/$G2521*$N$11,2)</f>
        <v>79188.740000000005</v>
      </c>
      <c r="K2521" s="189">
        <f>ROUND(G2521*J2521,2)</f>
        <v>2027.23</v>
      </c>
      <c r="L2521" s="189"/>
      <c r="M2521" s="138"/>
      <c r="N2521" s="138"/>
      <c r="O2521" s="138"/>
      <c r="S2521" s="72"/>
      <c r="T2521" s="72"/>
      <c r="U2521" s="72"/>
      <c r="V2521" s="72"/>
    </row>
    <row r="2522" spans="1:22" s="63" customFormat="1" ht="15" x14ac:dyDescent="0.25">
      <c r="A2522" s="80">
        <v>19.399999999999999</v>
      </c>
      <c r="B2522" s="81" t="s">
        <v>72</v>
      </c>
      <c r="C2522" s="82">
        <v>7</v>
      </c>
      <c r="D2522" s="131" t="s">
        <v>201</v>
      </c>
      <c r="E2522" s="83" t="s">
        <v>202</v>
      </c>
      <c r="F2522" s="81" t="s">
        <v>196</v>
      </c>
      <c r="G2522" s="88">
        <v>1.6814</v>
      </c>
      <c r="H2522" s="85"/>
      <c r="I2522" s="86">
        <v>27455.32</v>
      </c>
      <c r="J2522" s="185">
        <f>ROUND($I2522/$G2522*$N$11,2)</f>
        <v>18592.02</v>
      </c>
      <c r="K2522" s="189">
        <f>ROUND(G2522*J2522,2)</f>
        <v>31260.62</v>
      </c>
      <c r="L2522" s="189"/>
      <c r="M2522" s="138"/>
      <c r="N2522" s="138"/>
      <c r="O2522" s="138"/>
      <c r="S2522" s="72"/>
      <c r="T2522" s="72"/>
      <c r="U2522" s="72"/>
      <c r="V2522" s="72"/>
    </row>
    <row r="2523" spans="1:22" s="128" customFormat="1" ht="12.75" x14ac:dyDescent="0.25">
      <c r="A2523" s="236"/>
      <c r="B2523" s="125"/>
      <c r="C2523" s="76"/>
      <c r="D2523" s="77"/>
      <c r="E2523" s="126" t="s">
        <v>3355</v>
      </c>
      <c r="F2523" s="125"/>
      <c r="G2523" s="240"/>
      <c r="H2523" s="127"/>
      <c r="I2523" s="78"/>
      <c r="J2523" s="238"/>
      <c r="K2523" s="239"/>
      <c r="L2523" s="239"/>
      <c r="M2523" s="79"/>
      <c r="N2523" s="79"/>
      <c r="O2523" s="79"/>
      <c r="S2523" s="129"/>
      <c r="T2523" s="129"/>
      <c r="U2523" s="129"/>
      <c r="V2523" s="129"/>
    </row>
    <row r="2524" spans="1:22" s="63" customFormat="1" ht="15" x14ac:dyDescent="0.25">
      <c r="A2524" s="80">
        <v>19.5</v>
      </c>
      <c r="B2524" s="81" t="s">
        <v>72</v>
      </c>
      <c r="C2524" s="82">
        <v>13</v>
      </c>
      <c r="D2524" s="131" t="s">
        <v>343</v>
      </c>
      <c r="E2524" s="83" t="s">
        <v>2295</v>
      </c>
      <c r="F2524" s="81" t="s">
        <v>205</v>
      </c>
      <c r="G2524" s="87">
        <v>2.06</v>
      </c>
      <c r="H2524" s="85"/>
      <c r="I2524" s="86">
        <v>6987.99</v>
      </c>
      <c r="J2524" s="185">
        <f t="shared" ref="J2524:J2529" si="238">ROUND($I2524/$G2524*$N$11,2)</f>
        <v>3862.39</v>
      </c>
      <c r="K2524" s="189">
        <f t="shared" ref="K2524:K2529" si="239">ROUND(G2524*J2524,2)</f>
        <v>7956.52</v>
      </c>
      <c r="L2524" s="189"/>
      <c r="M2524" s="138"/>
      <c r="N2524" s="138"/>
      <c r="O2524" s="138"/>
      <c r="S2524" s="72"/>
      <c r="T2524" s="72"/>
      <c r="U2524" s="72"/>
      <c r="V2524" s="72"/>
    </row>
    <row r="2525" spans="1:22" s="63" customFormat="1" ht="22.5" x14ac:dyDescent="0.25">
      <c r="A2525" s="80">
        <v>19.600000000000001</v>
      </c>
      <c r="B2525" s="81" t="s">
        <v>72</v>
      </c>
      <c r="C2525" s="80">
        <v>13.1</v>
      </c>
      <c r="D2525" s="131" t="s">
        <v>2296</v>
      </c>
      <c r="E2525" s="83" t="s">
        <v>2297</v>
      </c>
      <c r="F2525" s="81" t="s">
        <v>205</v>
      </c>
      <c r="G2525" s="84">
        <v>2.6779999999999999</v>
      </c>
      <c r="H2525" s="85"/>
      <c r="I2525" s="86">
        <v>4524.9799999999996</v>
      </c>
      <c r="J2525" s="185">
        <f t="shared" si="238"/>
        <v>1923.88</v>
      </c>
      <c r="K2525" s="189">
        <f t="shared" si="239"/>
        <v>5152.1499999999996</v>
      </c>
      <c r="L2525" s="189"/>
      <c r="M2525" s="138"/>
      <c r="N2525" s="138"/>
      <c r="O2525" s="138"/>
      <c r="S2525" s="72"/>
      <c r="T2525" s="72"/>
      <c r="U2525" s="72"/>
      <c r="V2525" s="72"/>
    </row>
    <row r="2526" spans="1:22" s="63" customFormat="1" ht="15" x14ac:dyDescent="0.25">
      <c r="A2526" s="80">
        <v>19.7</v>
      </c>
      <c r="B2526" s="81" t="s">
        <v>72</v>
      </c>
      <c r="C2526" s="82">
        <v>14</v>
      </c>
      <c r="D2526" s="131" t="s">
        <v>294</v>
      </c>
      <c r="E2526" s="83" t="s">
        <v>295</v>
      </c>
      <c r="F2526" s="81" t="s">
        <v>196</v>
      </c>
      <c r="G2526" s="88">
        <v>3.09E-2</v>
      </c>
      <c r="H2526" s="85"/>
      <c r="I2526" s="86">
        <v>6209.54</v>
      </c>
      <c r="J2526" s="185">
        <f t="shared" si="238"/>
        <v>228808.49</v>
      </c>
      <c r="K2526" s="189">
        <f t="shared" si="239"/>
        <v>7070.18</v>
      </c>
      <c r="L2526" s="189"/>
      <c r="M2526" s="138"/>
      <c r="N2526" s="138"/>
      <c r="O2526" s="138"/>
      <c r="S2526" s="72"/>
      <c r="T2526" s="72"/>
      <c r="U2526" s="72"/>
      <c r="V2526" s="72"/>
    </row>
    <row r="2527" spans="1:22" s="63" customFormat="1" ht="22.5" x14ac:dyDescent="0.25">
      <c r="A2527" s="80">
        <v>19.8</v>
      </c>
      <c r="B2527" s="81" t="s">
        <v>72</v>
      </c>
      <c r="C2527" s="80">
        <v>14.1</v>
      </c>
      <c r="D2527" s="131" t="s">
        <v>2298</v>
      </c>
      <c r="E2527" s="83" t="s">
        <v>2299</v>
      </c>
      <c r="F2527" s="81" t="s">
        <v>205</v>
      </c>
      <c r="G2527" s="88">
        <v>3.1518000000000002</v>
      </c>
      <c r="H2527" s="85"/>
      <c r="I2527" s="86">
        <v>17321.509999999998</v>
      </c>
      <c r="J2527" s="185">
        <f t="shared" si="238"/>
        <v>6257.46</v>
      </c>
      <c r="K2527" s="189">
        <f t="shared" si="239"/>
        <v>19722.259999999998</v>
      </c>
      <c r="L2527" s="189"/>
      <c r="M2527" s="138"/>
      <c r="N2527" s="138"/>
      <c r="O2527" s="138"/>
      <c r="S2527" s="72"/>
      <c r="T2527" s="72"/>
      <c r="U2527" s="72"/>
      <c r="V2527" s="72"/>
    </row>
    <row r="2528" spans="1:22" s="63" customFormat="1" ht="15" x14ac:dyDescent="0.25">
      <c r="A2528" s="80">
        <v>19.899999999999999</v>
      </c>
      <c r="B2528" s="81" t="s">
        <v>72</v>
      </c>
      <c r="C2528" s="82">
        <v>15</v>
      </c>
      <c r="D2528" s="131" t="s">
        <v>387</v>
      </c>
      <c r="E2528" s="83" t="s">
        <v>388</v>
      </c>
      <c r="F2528" s="81" t="s">
        <v>226</v>
      </c>
      <c r="G2528" s="89">
        <v>5.7619999999999998E-2</v>
      </c>
      <c r="H2528" s="85"/>
      <c r="I2528" s="86">
        <v>878.23</v>
      </c>
      <c r="J2528" s="185">
        <f t="shared" si="238"/>
        <v>17354.259999999998</v>
      </c>
      <c r="K2528" s="189">
        <f t="shared" si="239"/>
        <v>999.95</v>
      </c>
      <c r="L2528" s="189"/>
      <c r="M2528" s="138"/>
      <c r="N2528" s="138"/>
      <c r="O2528" s="138"/>
      <c r="S2528" s="72"/>
      <c r="T2528" s="72"/>
      <c r="U2528" s="72"/>
      <c r="V2528" s="72"/>
    </row>
    <row r="2529" spans="1:22" s="63" customFormat="1" ht="22.5" x14ac:dyDescent="0.25">
      <c r="A2529" s="87">
        <v>19.100000000000001</v>
      </c>
      <c r="B2529" s="81" t="s">
        <v>72</v>
      </c>
      <c r="C2529" s="80">
        <v>15.1</v>
      </c>
      <c r="D2529" s="131" t="s">
        <v>2300</v>
      </c>
      <c r="E2529" s="83" t="s">
        <v>2301</v>
      </c>
      <c r="F2529" s="81" t="s">
        <v>226</v>
      </c>
      <c r="G2529" s="89">
        <v>5.7619999999999998E-2</v>
      </c>
      <c r="H2529" s="85"/>
      <c r="I2529" s="86">
        <v>2669.77</v>
      </c>
      <c r="J2529" s="185">
        <f t="shared" si="238"/>
        <v>52755.99</v>
      </c>
      <c r="K2529" s="189">
        <f t="shared" si="239"/>
        <v>3039.8</v>
      </c>
      <c r="L2529" s="189"/>
      <c r="M2529" s="138"/>
      <c r="N2529" s="138"/>
      <c r="O2529" s="138"/>
      <c r="S2529" s="72"/>
      <c r="T2529" s="72"/>
      <c r="U2529" s="72"/>
      <c r="V2529" s="72"/>
    </row>
    <row r="2530" spans="1:22" s="128" customFormat="1" ht="12.75" x14ac:dyDescent="0.25">
      <c r="A2530" s="237"/>
      <c r="B2530" s="125"/>
      <c r="C2530" s="236"/>
      <c r="D2530" s="77"/>
      <c r="E2530" s="126" t="s">
        <v>3353</v>
      </c>
      <c r="F2530" s="125"/>
      <c r="G2530" s="243"/>
      <c r="H2530" s="127"/>
      <c r="I2530" s="78"/>
      <c r="J2530" s="238"/>
      <c r="K2530" s="239"/>
      <c r="L2530" s="239"/>
      <c r="M2530" s="79"/>
      <c r="N2530" s="79"/>
      <c r="O2530" s="79"/>
      <c r="S2530" s="129"/>
      <c r="T2530" s="129"/>
      <c r="U2530" s="129"/>
      <c r="V2530" s="129"/>
    </row>
    <row r="2531" spans="1:22" s="128" customFormat="1" ht="12.75" x14ac:dyDescent="0.25">
      <c r="A2531" s="237"/>
      <c r="B2531" s="125"/>
      <c r="C2531" s="236"/>
      <c r="D2531" s="77"/>
      <c r="E2531" s="126" t="s">
        <v>3354</v>
      </c>
      <c r="F2531" s="125"/>
      <c r="G2531" s="243"/>
      <c r="H2531" s="127"/>
      <c r="I2531" s="78"/>
      <c r="J2531" s="238"/>
      <c r="K2531" s="239"/>
      <c r="L2531" s="239"/>
      <c r="M2531" s="79"/>
      <c r="N2531" s="79"/>
      <c r="O2531" s="79"/>
      <c r="S2531" s="129"/>
      <c r="T2531" s="129"/>
      <c r="U2531" s="129"/>
      <c r="V2531" s="129"/>
    </row>
    <row r="2532" spans="1:22" s="63" customFormat="1" ht="15" x14ac:dyDescent="0.25">
      <c r="A2532" s="87">
        <v>19.11</v>
      </c>
      <c r="B2532" s="81" t="s">
        <v>72</v>
      </c>
      <c r="C2532" s="82">
        <v>19</v>
      </c>
      <c r="D2532" s="131" t="s">
        <v>203</v>
      </c>
      <c r="E2532" s="83" t="s">
        <v>204</v>
      </c>
      <c r="F2532" s="81" t="s">
        <v>205</v>
      </c>
      <c r="G2532" s="89">
        <v>2.862E-2</v>
      </c>
      <c r="H2532" s="85"/>
      <c r="I2532" s="86">
        <v>148.69</v>
      </c>
      <c r="J2532" s="185">
        <f>ROUND($I2532/$G2532*$N$11,2)</f>
        <v>5915.39</v>
      </c>
      <c r="K2532" s="189">
        <f>ROUND(G2532*J2532,2)</f>
        <v>169.3</v>
      </c>
      <c r="L2532" s="189"/>
      <c r="M2532" s="138"/>
      <c r="N2532" s="138"/>
      <c r="O2532" s="138"/>
      <c r="S2532" s="72"/>
      <c r="T2532" s="72"/>
      <c r="U2532" s="72"/>
      <c r="V2532" s="72"/>
    </row>
    <row r="2533" spans="1:22" s="63" customFormat="1" ht="33.75" x14ac:dyDescent="0.25">
      <c r="A2533" s="87">
        <v>19.12</v>
      </c>
      <c r="B2533" s="81" t="s">
        <v>72</v>
      </c>
      <c r="C2533" s="82">
        <v>20</v>
      </c>
      <c r="D2533" s="131" t="s">
        <v>206</v>
      </c>
      <c r="E2533" s="83" t="s">
        <v>304</v>
      </c>
      <c r="F2533" s="81" t="s">
        <v>207</v>
      </c>
      <c r="G2533" s="88">
        <v>9.5399999999999999E-2</v>
      </c>
      <c r="H2533" s="85"/>
      <c r="I2533" s="86">
        <v>1754.93</v>
      </c>
      <c r="J2533" s="185">
        <f>ROUND($I2533/$G2533*$N$11,2)</f>
        <v>20945.11</v>
      </c>
      <c r="K2533" s="189">
        <f>ROUND(G2533*J2533,2)</f>
        <v>1998.16</v>
      </c>
      <c r="L2533" s="189"/>
      <c r="M2533" s="138"/>
      <c r="N2533" s="138"/>
      <c r="O2533" s="138"/>
      <c r="S2533" s="72"/>
      <c r="T2533" s="72"/>
      <c r="U2533" s="72"/>
      <c r="V2533" s="72"/>
    </row>
    <row r="2534" spans="1:22" s="63" customFormat="1" ht="22.5" x14ac:dyDescent="0.25">
      <c r="A2534" s="87">
        <v>19.13</v>
      </c>
      <c r="B2534" s="81" t="s">
        <v>72</v>
      </c>
      <c r="C2534" s="80">
        <v>20.100000000000001</v>
      </c>
      <c r="D2534" s="131" t="s">
        <v>208</v>
      </c>
      <c r="E2534" s="83" t="s">
        <v>209</v>
      </c>
      <c r="F2534" s="81" t="s">
        <v>210</v>
      </c>
      <c r="G2534" s="87">
        <v>38.159999999999997</v>
      </c>
      <c r="H2534" s="85"/>
      <c r="I2534" s="86">
        <v>6682.38</v>
      </c>
      <c r="J2534" s="185">
        <f>ROUND($I2534/$G2534*$N$11,2)</f>
        <v>199.39</v>
      </c>
      <c r="K2534" s="189">
        <f>ROUND(G2534*J2534,2)</f>
        <v>7608.72</v>
      </c>
      <c r="L2534" s="189"/>
      <c r="M2534" s="138"/>
      <c r="N2534" s="138"/>
      <c r="O2534" s="138"/>
      <c r="S2534" s="72"/>
      <c r="T2534" s="72"/>
      <c r="U2534" s="72"/>
      <c r="V2534" s="72"/>
    </row>
    <row r="2535" spans="1:22" s="63" customFormat="1" ht="22.5" x14ac:dyDescent="0.25">
      <c r="A2535" s="87">
        <v>19.14</v>
      </c>
      <c r="B2535" s="81" t="s">
        <v>72</v>
      </c>
      <c r="C2535" s="80">
        <v>20.2</v>
      </c>
      <c r="D2535" s="131" t="s">
        <v>211</v>
      </c>
      <c r="E2535" s="83" t="s">
        <v>212</v>
      </c>
      <c r="F2535" s="81" t="s">
        <v>213</v>
      </c>
      <c r="G2535" s="84">
        <v>11.925000000000001</v>
      </c>
      <c r="H2535" s="85"/>
      <c r="I2535" s="86">
        <v>12725.31</v>
      </c>
      <c r="J2535" s="185">
        <f>ROUND($I2535/$G2535*$N$11,2)</f>
        <v>1215.01</v>
      </c>
      <c r="K2535" s="189">
        <f>ROUND(G2535*J2535,2)</f>
        <v>14488.99</v>
      </c>
      <c r="L2535" s="189"/>
      <c r="M2535" s="138"/>
      <c r="N2535" s="138"/>
      <c r="O2535" s="138"/>
      <c r="S2535" s="72"/>
      <c r="T2535" s="72"/>
      <c r="U2535" s="72"/>
      <c r="V2535" s="72"/>
    </row>
    <row r="2536" spans="1:22" s="128" customFormat="1" ht="12.75" x14ac:dyDescent="0.25">
      <c r="A2536" s="237"/>
      <c r="B2536" s="125"/>
      <c r="C2536" s="236"/>
      <c r="D2536" s="77"/>
      <c r="E2536" s="126" t="s">
        <v>3356</v>
      </c>
      <c r="F2536" s="125"/>
      <c r="G2536" s="242"/>
      <c r="H2536" s="127"/>
      <c r="I2536" s="78"/>
      <c r="J2536" s="238"/>
      <c r="K2536" s="239"/>
      <c r="L2536" s="239"/>
      <c r="M2536" s="79"/>
      <c r="N2536" s="79"/>
      <c r="O2536" s="79"/>
      <c r="S2536" s="129"/>
      <c r="T2536" s="129"/>
      <c r="U2536" s="129"/>
      <c r="V2536" s="129"/>
    </row>
    <row r="2537" spans="1:22" s="63" customFormat="1" ht="33.75" x14ac:dyDescent="0.25">
      <c r="A2537" s="87">
        <v>19.149999999999999</v>
      </c>
      <c r="B2537" s="81" t="s">
        <v>72</v>
      </c>
      <c r="C2537" s="82">
        <v>21</v>
      </c>
      <c r="D2537" s="131" t="s">
        <v>2302</v>
      </c>
      <c r="E2537" s="83" t="s">
        <v>2303</v>
      </c>
      <c r="F2537" s="81" t="s">
        <v>226</v>
      </c>
      <c r="G2537" s="84">
        <v>0.68700000000000006</v>
      </c>
      <c r="H2537" s="85"/>
      <c r="I2537" s="86">
        <v>47489.04</v>
      </c>
      <c r="J2537" s="185">
        <f>ROUND($I2537/$G2537*$N$11,2)</f>
        <v>78706</v>
      </c>
      <c r="K2537" s="189">
        <f>ROUND(G2537*J2537,2)</f>
        <v>54071.02</v>
      </c>
      <c r="L2537" s="189"/>
      <c r="M2537" s="138"/>
      <c r="N2537" s="138"/>
      <c r="O2537" s="138"/>
      <c r="S2537" s="72"/>
      <c r="T2537" s="72"/>
      <c r="U2537" s="72"/>
      <c r="V2537" s="72"/>
    </row>
    <row r="2538" spans="1:22" s="63" customFormat="1" ht="22.5" x14ac:dyDescent="0.25">
      <c r="A2538" s="87">
        <v>19.16</v>
      </c>
      <c r="B2538" s="81" t="s">
        <v>72</v>
      </c>
      <c r="C2538" s="82">
        <v>22</v>
      </c>
      <c r="D2538" s="131" t="s">
        <v>2304</v>
      </c>
      <c r="E2538" s="83" t="s">
        <v>2305</v>
      </c>
      <c r="F2538" s="81" t="s">
        <v>219</v>
      </c>
      <c r="G2538" s="82">
        <v>1</v>
      </c>
      <c r="H2538" s="85"/>
      <c r="I2538" s="86">
        <v>64218.12</v>
      </c>
      <c r="J2538" s="185">
        <f>ROUND($I2538/$G2538*$N$11,2)</f>
        <v>73118.75</v>
      </c>
      <c r="K2538" s="189">
        <f>ROUND(G2538*J2538,2)</f>
        <v>73118.75</v>
      </c>
      <c r="L2538" s="189"/>
      <c r="M2538" s="138"/>
      <c r="N2538" s="138"/>
      <c r="O2538" s="138"/>
      <c r="S2538" s="72"/>
      <c r="T2538" s="72"/>
      <c r="U2538" s="72"/>
      <c r="V2538" s="72"/>
    </row>
    <row r="2539" spans="1:22" s="63" customFormat="1" ht="22.5" x14ac:dyDescent="0.25">
      <c r="A2539" s="101">
        <v>19.170000000000002</v>
      </c>
      <c r="B2539" s="102" t="s">
        <v>72</v>
      </c>
      <c r="C2539" s="103">
        <v>22.1</v>
      </c>
      <c r="D2539" s="167" t="s">
        <v>2306</v>
      </c>
      <c r="E2539" s="104" t="s">
        <v>4002</v>
      </c>
      <c r="F2539" s="102" t="s">
        <v>219</v>
      </c>
      <c r="G2539" s="105">
        <v>1</v>
      </c>
      <c r="H2539" s="106"/>
      <c r="I2539" s="107">
        <v>13529189.76</v>
      </c>
      <c r="J2539" s="192">
        <f>ROUND($I2539/$G2539*$N$12,2)</f>
        <v>15132398.75</v>
      </c>
      <c r="K2539" s="193">
        <f>ROUND(G2539*J2539,2)</f>
        <v>15132398.75</v>
      </c>
      <c r="L2539" s="193"/>
      <c r="M2539" s="138"/>
      <c r="N2539" s="138"/>
      <c r="O2539" s="138"/>
      <c r="S2539" s="72"/>
      <c r="T2539" s="72"/>
      <c r="U2539" s="72"/>
      <c r="V2539" s="72"/>
    </row>
    <row r="2540" spans="1:22" s="63" customFormat="1" ht="15" x14ac:dyDescent="0.25">
      <c r="A2540" s="194">
        <v>20</v>
      </c>
      <c r="B2540" s="418" t="s">
        <v>2307</v>
      </c>
      <c r="C2540" s="418"/>
      <c r="D2540" s="418"/>
      <c r="E2540" s="195" t="s">
        <v>77</v>
      </c>
      <c r="F2540" s="196"/>
      <c r="G2540" s="194">
        <v>1</v>
      </c>
      <c r="H2540" s="197">
        <v>2394301.4700000002</v>
      </c>
      <c r="I2540" s="355">
        <f>SUM(I2543:I2597)</f>
        <v>2394301.4600000004</v>
      </c>
      <c r="J2540" s="200"/>
      <c r="K2540" s="198">
        <f>SUM(K2543:K2597)</f>
        <v>2721079.0700000003</v>
      </c>
      <c r="L2540" s="198"/>
      <c r="M2540" s="207"/>
      <c r="N2540" s="209"/>
      <c r="O2540" s="138"/>
      <c r="S2540" s="72"/>
      <c r="T2540" s="72"/>
      <c r="U2540" s="72"/>
      <c r="V2540" s="72"/>
    </row>
    <row r="2541" spans="1:22" s="63" customFormat="1" ht="15" x14ac:dyDescent="0.25">
      <c r="A2541" s="91"/>
      <c r="B2541" s="92"/>
      <c r="C2541" s="92"/>
      <c r="D2541" s="166"/>
      <c r="E2541" s="93" t="s">
        <v>651</v>
      </c>
      <c r="F2541" s="94"/>
      <c r="G2541" s="91"/>
      <c r="H2541" s="95"/>
      <c r="I2541" s="96">
        <f>I2563+I2597</f>
        <v>252425.81</v>
      </c>
      <c r="J2541" s="191"/>
      <c r="K2541" s="96">
        <f>K2563+K2597</f>
        <v>282338.27</v>
      </c>
      <c r="L2541" s="96"/>
      <c r="M2541" s="207"/>
      <c r="N2541" s="209"/>
      <c r="O2541" s="138"/>
      <c r="S2541" s="72"/>
      <c r="T2541" s="72"/>
      <c r="U2541" s="72"/>
      <c r="V2541" s="72"/>
    </row>
    <row r="2542" spans="1:22" s="278" customFormat="1" ht="15" x14ac:dyDescent="0.25">
      <c r="A2542" s="216"/>
      <c r="B2542" s="217"/>
      <c r="C2542" s="217"/>
      <c r="D2542" s="248"/>
      <c r="E2542" s="218" t="s">
        <v>3357</v>
      </c>
      <c r="F2542" s="219"/>
      <c r="G2542" s="216"/>
      <c r="H2542" s="220"/>
      <c r="I2542" s="221"/>
      <c r="J2542" s="244"/>
      <c r="K2542" s="221"/>
      <c r="L2542" s="221"/>
      <c r="M2542" s="222"/>
      <c r="N2542" s="223"/>
      <c r="O2542" s="245"/>
      <c r="S2542" s="225"/>
      <c r="T2542" s="225"/>
      <c r="U2542" s="225"/>
      <c r="V2542" s="225"/>
    </row>
    <row r="2543" spans="1:22" s="63" customFormat="1" ht="22.5" x14ac:dyDescent="0.25">
      <c r="A2543" s="80">
        <v>20.100000000000001</v>
      </c>
      <c r="B2543" s="81" t="s">
        <v>76</v>
      </c>
      <c r="C2543" s="82">
        <v>1</v>
      </c>
      <c r="D2543" s="131" t="s">
        <v>2308</v>
      </c>
      <c r="E2543" s="83" t="s">
        <v>2309</v>
      </c>
      <c r="F2543" s="81" t="s">
        <v>216</v>
      </c>
      <c r="G2543" s="87">
        <v>0.22</v>
      </c>
      <c r="H2543" s="85"/>
      <c r="I2543" s="86">
        <f>18006.35-0.02</f>
        <v>18006.329999999998</v>
      </c>
      <c r="J2543" s="185">
        <f t="shared" ref="J2543:J2562" si="240">ROUND($I2543/$G2543*$N$11,2)</f>
        <v>93190.94</v>
      </c>
      <c r="K2543" s="189">
        <f t="shared" ref="K2543:K2563" si="241">ROUND(G2543*J2543,2)</f>
        <v>20502.009999999998</v>
      </c>
      <c r="L2543" s="189"/>
      <c r="M2543" s="138"/>
      <c r="N2543" s="138"/>
      <c r="O2543" s="138"/>
      <c r="S2543" s="72"/>
      <c r="T2543" s="72"/>
      <c r="U2543" s="72"/>
      <c r="V2543" s="72"/>
    </row>
    <row r="2544" spans="1:22" s="63" customFormat="1" ht="15" x14ac:dyDescent="0.25">
      <c r="A2544" s="80">
        <v>20.2</v>
      </c>
      <c r="B2544" s="81" t="s">
        <v>76</v>
      </c>
      <c r="C2544" s="82">
        <v>2</v>
      </c>
      <c r="D2544" s="131" t="s">
        <v>343</v>
      </c>
      <c r="E2544" s="83" t="s">
        <v>2295</v>
      </c>
      <c r="F2544" s="81" t="s">
        <v>205</v>
      </c>
      <c r="G2544" s="84">
        <v>0.154</v>
      </c>
      <c r="H2544" s="85"/>
      <c r="I2544" s="86">
        <v>523.03</v>
      </c>
      <c r="J2544" s="185">
        <f t="shared" si="240"/>
        <v>3867.03</v>
      </c>
      <c r="K2544" s="189">
        <f t="shared" si="241"/>
        <v>595.52</v>
      </c>
      <c r="L2544" s="189"/>
      <c r="M2544" s="138"/>
      <c r="N2544" s="138"/>
      <c r="O2544" s="138"/>
      <c r="S2544" s="72"/>
      <c r="T2544" s="72"/>
      <c r="U2544" s="72"/>
      <c r="V2544" s="72"/>
    </row>
    <row r="2545" spans="1:22" s="63" customFormat="1" ht="22.5" x14ac:dyDescent="0.25">
      <c r="A2545" s="80">
        <v>20.3</v>
      </c>
      <c r="B2545" s="81" t="s">
        <v>76</v>
      </c>
      <c r="C2545" s="80">
        <v>2.1</v>
      </c>
      <c r="D2545" s="131" t="s">
        <v>2310</v>
      </c>
      <c r="E2545" s="83" t="s">
        <v>2311</v>
      </c>
      <c r="F2545" s="81" t="s">
        <v>205</v>
      </c>
      <c r="G2545" s="88">
        <v>0.20019999999999999</v>
      </c>
      <c r="H2545" s="85"/>
      <c r="I2545" s="86">
        <v>251.48</v>
      </c>
      <c r="J2545" s="185">
        <f t="shared" si="240"/>
        <v>1430.25</v>
      </c>
      <c r="K2545" s="189">
        <f t="shared" si="241"/>
        <v>286.33999999999997</v>
      </c>
      <c r="L2545" s="189"/>
      <c r="M2545" s="138"/>
      <c r="N2545" s="138"/>
      <c r="O2545" s="138"/>
      <c r="S2545" s="72"/>
      <c r="T2545" s="72"/>
      <c r="U2545" s="72"/>
      <c r="V2545" s="72"/>
    </row>
    <row r="2546" spans="1:22" s="63" customFormat="1" ht="15" x14ac:dyDescent="0.25">
      <c r="A2546" s="80">
        <v>20.399999999999999</v>
      </c>
      <c r="B2546" s="81" t="s">
        <v>76</v>
      </c>
      <c r="C2546" s="82">
        <v>3</v>
      </c>
      <c r="D2546" s="131" t="s">
        <v>2312</v>
      </c>
      <c r="E2546" s="83" t="s">
        <v>2313</v>
      </c>
      <c r="F2546" s="81" t="s">
        <v>226</v>
      </c>
      <c r="G2546" s="84">
        <v>0.50600000000000001</v>
      </c>
      <c r="H2546" s="85"/>
      <c r="I2546" s="86">
        <v>30141.42</v>
      </c>
      <c r="J2546" s="185">
        <f t="shared" si="240"/>
        <v>67824.149999999994</v>
      </c>
      <c r="K2546" s="189">
        <f t="shared" si="241"/>
        <v>34319.019999999997</v>
      </c>
      <c r="L2546" s="189"/>
      <c r="M2546" s="138"/>
      <c r="N2546" s="138"/>
      <c r="O2546" s="138"/>
      <c r="S2546" s="72"/>
      <c r="T2546" s="72"/>
      <c r="U2546" s="72"/>
      <c r="V2546" s="72"/>
    </row>
    <row r="2547" spans="1:22" s="63" customFormat="1" ht="22.5" x14ac:dyDescent="0.25">
      <c r="A2547" s="80">
        <v>20.5</v>
      </c>
      <c r="B2547" s="81" t="s">
        <v>76</v>
      </c>
      <c r="C2547" s="80">
        <v>3.1</v>
      </c>
      <c r="D2547" s="131" t="s">
        <v>2314</v>
      </c>
      <c r="E2547" s="83" t="s">
        <v>4003</v>
      </c>
      <c r="F2547" s="81" t="s">
        <v>219</v>
      </c>
      <c r="G2547" s="82">
        <v>22</v>
      </c>
      <c r="H2547" s="85"/>
      <c r="I2547" s="86">
        <v>55648.03</v>
      </c>
      <c r="J2547" s="185">
        <f t="shared" si="240"/>
        <v>2880.04</v>
      </c>
      <c r="K2547" s="189">
        <f t="shared" si="241"/>
        <v>63360.88</v>
      </c>
      <c r="L2547" s="189"/>
      <c r="M2547" s="138"/>
      <c r="N2547" s="138"/>
      <c r="O2547" s="138"/>
      <c r="S2547" s="72"/>
      <c r="T2547" s="72"/>
      <c r="U2547" s="72"/>
      <c r="V2547" s="72"/>
    </row>
    <row r="2548" spans="1:22" s="63" customFormat="1" ht="22.5" x14ac:dyDescent="0.25">
      <c r="A2548" s="80">
        <v>20.6</v>
      </c>
      <c r="B2548" s="81" t="s">
        <v>76</v>
      </c>
      <c r="C2548" s="82">
        <v>4</v>
      </c>
      <c r="D2548" s="131" t="s">
        <v>2315</v>
      </c>
      <c r="E2548" s="83" t="s">
        <v>2316</v>
      </c>
      <c r="F2548" s="81" t="s">
        <v>196</v>
      </c>
      <c r="G2548" s="88">
        <v>1.67E-2</v>
      </c>
      <c r="H2548" s="85"/>
      <c r="I2548" s="86">
        <v>10060.25</v>
      </c>
      <c r="J2548" s="185">
        <f t="shared" si="240"/>
        <v>685904.23</v>
      </c>
      <c r="K2548" s="189">
        <f t="shared" si="241"/>
        <v>11454.6</v>
      </c>
      <c r="L2548" s="189"/>
      <c r="M2548" s="138"/>
      <c r="N2548" s="138"/>
      <c r="O2548" s="138"/>
      <c r="S2548" s="72"/>
      <c r="T2548" s="72"/>
      <c r="U2548" s="72"/>
      <c r="V2548" s="72"/>
    </row>
    <row r="2549" spans="1:22" s="63" customFormat="1" ht="22.5" x14ac:dyDescent="0.25">
      <c r="A2549" s="80">
        <v>20.7</v>
      </c>
      <c r="B2549" s="81" t="s">
        <v>76</v>
      </c>
      <c r="C2549" s="80">
        <v>4.0999999999999996</v>
      </c>
      <c r="D2549" s="131" t="s">
        <v>2317</v>
      </c>
      <c r="E2549" s="83" t="s">
        <v>2318</v>
      </c>
      <c r="F2549" s="81" t="s">
        <v>205</v>
      </c>
      <c r="G2549" s="88">
        <v>1.7034</v>
      </c>
      <c r="H2549" s="85"/>
      <c r="I2549" s="86">
        <v>10864.06</v>
      </c>
      <c r="J2549" s="185">
        <f t="shared" si="240"/>
        <v>7261.84</v>
      </c>
      <c r="K2549" s="189">
        <f t="shared" si="241"/>
        <v>12369.82</v>
      </c>
      <c r="L2549" s="189"/>
      <c r="M2549" s="138"/>
      <c r="N2549" s="138"/>
      <c r="O2549" s="138"/>
      <c r="S2549" s="72"/>
      <c r="T2549" s="72"/>
      <c r="U2549" s="72"/>
      <c r="V2549" s="72"/>
    </row>
    <row r="2550" spans="1:22" s="63" customFormat="1" ht="15" x14ac:dyDescent="0.25">
      <c r="A2550" s="80">
        <v>20.8</v>
      </c>
      <c r="B2550" s="81" t="s">
        <v>76</v>
      </c>
      <c r="C2550" s="82">
        <v>5</v>
      </c>
      <c r="D2550" s="131" t="s">
        <v>199</v>
      </c>
      <c r="E2550" s="83" t="s">
        <v>200</v>
      </c>
      <c r="F2550" s="81" t="s">
        <v>196</v>
      </c>
      <c r="G2550" s="84">
        <v>8.4000000000000005E-2</v>
      </c>
      <c r="H2550" s="85"/>
      <c r="I2550" s="86">
        <v>5842.27</v>
      </c>
      <c r="J2550" s="185">
        <f t="shared" si="240"/>
        <v>79190.58</v>
      </c>
      <c r="K2550" s="189">
        <f t="shared" si="241"/>
        <v>6652.01</v>
      </c>
      <c r="L2550" s="189"/>
      <c r="M2550" s="138"/>
      <c r="N2550" s="138"/>
      <c r="O2550" s="138"/>
      <c r="S2550" s="72"/>
      <c r="T2550" s="72"/>
      <c r="U2550" s="72"/>
      <c r="V2550" s="72"/>
    </row>
    <row r="2551" spans="1:22" s="63" customFormat="1" ht="22.5" x14ac:dyDescent="0.25">
      <c r="A2551" s="80">
        <v>20.9</v>
      </c>
      <c r="B2551" s="81" t="s">
        <v>76</v>
      </c>
      <c r="C2551" s="82">
        <v>6</v>
      </c>
      <c r="D2551" s="131" t="s">
        <v>2319</v>
      </c>
      <c r="E2551" s="83" t="s">
        <v>2320</v>
      </c>
      <c r="F2551" s="81" t="s">
        <v>2321</v>
      </c>
      <c r="G2551" s="87">
        <v>2.73</v>
      </c>
      <c r="H2551" s="85"/>
      <c r="I2551" s="86">
        <v>151.62</v>
      </c>
      <c r="J2551" s="185">
        <f t="shared" si="240"/>
        <v>63.24</v>
      </c>
      <c r="K2551" s="189">
        <f t="shared" si="241"/>
        <v>172.65</v>
      </c>
      <c r="L2551" s="189"/>
      <c r="M2551" s="138"/>
      <c r="N2551" s="138"/>
      <c r="O2551" s="138"/>
      <c r="S2551" s="72"/>
      <c r="T2551" s="72"/>
      <c r="U2551" s="72"/>
      <c r="V2551" s="72"/>
    </row>
    <row r="2552" spans="1:22" s="63" customFormat="1" ht="22.5" x14ac:dyDescent="0.25">
      <c r="A2552" s="87">
        <v>20.100000000000001</v>
      </c>
      <c r="B2552" s="81" t="s">
        <v>76</v>
      </c>
      <c r="C2552" s="82">
        <v>7</v>
      </c>
      <c r="D2552" s="131" t="s">
        <v>2322</v>
      </c>
      <c r="E2552" s="83" t="s">
        <v>2323</v>
      </c>
      <c r="F2552" s="81" t="s">
        <v>2321</v>
      </c>
      <c r="G2552" s="87">
        <v>2.73</v>
      </c>
      <c r="H2552" s="85"/>
      <c r="I2552" s="86">
        <v>695.18</v>
      </c>
      <c r="J2552" s="185">
        <f t="shared" si="240"/>
        <v>289.94</v>
      </c>
      <c r="K2552" s="189">
        <f t="shared" si="241"/>
        <v>791.54</v>
      </c>
      <c r="L2552" s="189"/>
      <c r="M2552" s="138"/>
      <c r="N2552" s="138"/>
      <c r="O2552" s="138"/>
      <c r="S2552" s="72"/>
      <c r="T2552" s="72"/>
      <c r="U2552" s="72"/>
      <c r="V2552" s="72"/>
    </row>
    <row r="2553" spans="1:22" s="63" customFormat="1" ht="22.5" x14ac:dyDescent="0.25">
      <c r="A2553" s="87">
        <v>20.11</v>
      </c>
      <c r="B2553" s="81" t="s">
        <v>76</v>
      </c>
      <c r="C2553" s="82">
        <v>8</v>
      </c>
      <c r="D2553" s="131" t="s">
        <v>2324</v>
      </c>
      <c r="E2553" s="83" t="s">
        <v>2325</v>
      </c>
      <c r="F2553" s="81" t="s">
        <v>216</v>
      </c>
      <c r="G2553" s="87">
        <v>0.22</v>
      </c>
      <c r="H2553" s="85"/>
      <c r="I2553" s="86">
        <v>15941.32</v>
      </c>
      <c r="J2553" s="185">
        <f t="shared" si="240"/>
        <v>82503.58</v>
      </c>
      <c r="K2553" s="189">
        <f t="shared" si="241"/>
        <v>18150.79</v>
      </c>
      <c r="L2553" s="189"/>
      <c r="M2553" s="138"/>
      <c r="N2553" s="138"/>
      <c r="O2553" s="138"/>
      <c r="S2553" s="72"/>
      <c r="T2553" s="72"/>
      <c r="U2553" s="72"/>
      <c r="V2553" s="72"/>
    </row>
    <row r="2554" spans="1:22" s="63" customFormat="1" ht="22.5" x14ac:dyDescent="0.25">
      <c r="A2554" s="87">
        <v>20.12</v>
      </c>
      <c r="B2554" s="81" t="s">
        <v>76</v>
      </c>
      <c r="C2554" s="80">
        <v>8.1</v>
      </c>
      <c r="D2554" s="131" t="s">
        <v>2326</v>
      </c>
      <c r="E2554" s="83" t="s">
        <v>4004</v>
      </c>
      <c r="F2554" s="81" t="s">
        <v>219</v>
      </c>
      <c r="G2554" s="82">
        <v>22</v>
      </c>
      <c r="H2554" s="85"/>
      <c r="I2554" s="86">
        <v>281984.21999999997</v>
      </c>
      <c r="J2554" s="185">
        <f t="shared" si="240"/>
        <v>14593.97</v>
      </c>
      <c r="K2554" s="189">
        <f t="shared" si="241"/>
        <v>321067.34000000003</v>
      </c>
      <c r="L2554" s="189"/>
      <c r="M2554" s="138"/>
      <c r="N2554" s="138"/>
      <c r="O2554" s="138"/>
      <c r="S2554" s="72"/>
      <c r="T2554" s="72"/>
      <c r="U2554" s="72"/>
      <c r="V2554" s="72"/>
    </row>
    <row r="2555" spans="1:22" s="63" customFormat="1" ht="15" x14ac:dyDescent="0.25">
      <c r="A2555" s="87">
        <v>20.13</v>
      </c>
      <c r="B2555" s="81" t="s">
        <v>76</v>
      </c>
      <c r="C2555" s="82">
        <v>9</v>
      </c>
      <c r="D2555" s="131" t="s">
        <v>2327</v>
      </c>
      <c r="E2555" s="83" t="s">
        <v>2328</v>
      </c>
      <c r="F2555" s="81" t="s">
        <v>219</v>
      </c>
      <c r="G2555" s="82">
        <v>22</v>
      </c>
      <c r="H2555" s="85"/>
      <c r="I2555" s="86">
        <v>21909.21</v>
      </c>
      <c r="J2555" s="185">
        <f t="shared" si="240"/>
        <v>1133.9000000000001</v>
      </c>
      <c r="K2555" s="189">
        <f t="shared" si="241"/>
        <v>24945.8</v>
      </c>
      <c r="L2555" s="189"/>
      <c r="M2555" s="138"/>
      <c r="N2555" s="138"/>
      <c r="O2555" s="138"/>
      <c r="S2555" s="72"/>
      <c r="T2555" s="72"/>
      <c r="U2555" s="72"/>
      <c r="V2555" s="72"/>
    </row>
    <row r="2556" spans="1:22" s="63" customFormat="1" ht="22.5" x14ac:dyDescent="0.25">
      <c r="A2556" s="87">
        <v>20.14</v>
      </c>
      <c r="B2556" s="81" t="s">
        <v>76</v>
      </c>
      <c r="C2556" s="80">
        <v>9.1</v>
      </c>
      <c r="D2556" s="131" t="s">
        <v>2329</v>
      </c>
      <c r="E2556" s="83" t="s">
        <v>4005</v>
      </c>
      <c r="F2556" s="81" t="s">
        <v>219</v>
      </c>
      <c r="G2556" s="82">
        <v>11</v>
      </c>
      <c r="H2556" s="85"/>
      <c r="I2556" s="86">
        <v>36564.29</v>
      </c>
      <c r="J2556" s="185">
        <f t="shared" si="240"/>
        <v>3784.74</v>
      </c>
      <c r="K2556" s="189">
        <f t="shared" si="241"/>
        <v>41632.14</v>
      </c>
      <c r="L2556" s="189"/>
      <c r="M2556" s="138"/>
      <c r="N2556" s="138"/>
      <c r="O2556" s="138"/>
      <c r="S2556" s="72"/>
      <c r="T2556" s="72"/>
      <c r="U2556" s="72"/>
      <c r="V2556" s="72"/>
    </row>
    <row r="2557" spans="1:22" s="63" customFormat="1" ht="22.5" x14ac:dyDescent="0.25">
      <c r="A2557" s="87">
        <v>20.149999999999999</v>
      </c>
      <c r="B2557" s="81" t="s">
        <v>76</v>
      </c>
      <c r="C2557" s="80">
        <v>9.1999999999999993</v>
      </c>
      <c r="D2557" s="131" t="s">
        <v>2330</v>
      </c>
      <c r="E2557" s="83" t="s">
        <v>4006</v>
      </c>
      <c r="F2557" s="81" t="s">
        <v>219</v>
      </c>
      <c r="G2557" s="82">
        <v>11</v>
      </c>
      <c r="H2557" s="85"/>
      <c r="I2557" s="86">
        <v>73128.75</v>
      </c>
      <c r="J2557" s="185">
        <f t="shared" si="240"/>
        <v>7569.49</v>
      </c>
      <c r="K2557" s="189">
        <f t="shared" si="241"/>
        <v>83264.39</v>
      </c>
      <c r="L2557" s="189"/>
      <c r="M2557" s="138"/>
      <c r="N2557" s="138"/>
      <c r="O2557" s="138"/>
      <c r="S2557" s="72"/>
      <c r="T2557" s="72"/>
      <c r="U2557" s="72"/>
      <c r="V2557" s="72"/>
    </row>
    <row r="2558" spans="1:22" s="63" customFormat="1" ht="15" x14ac:dyDescent="0.25">
      <c r="A2558" s="87">
        <v>20.16</v>
      </c>
      <c r="B2558" s="81" t="s">
        <v>76</v>
      </c>
      <c r="C2558" s="82">
        <v>10</v>
      </c>
      <c r="D2558" s="131" t="s">
        <v>2331</v>
      </c>
      <c r="E2558" s="83" t="s">
        <v>2332</v>
      </c>
      <c r="F2558" s="81" t="s">
        <v>219</v>
      </c>
      <c r="G2558" s="82">
        <v>33</v>
      </c>
      <c r="H2558" s="85"/>
      <c r="I2558" s="86">
        <v>87845.29</v>
      </c>
      <c r="J2558" s="185">
        <f t="shared" si="240"/>
        <v>3030.93</v>
      </c>
      <c r="K2558" s="189">
        <f t="shared" si="241"/>
        <v>100020.69</v>
      </c>
      <c r="L2558" s="189"/>
      <c r="M2558" s="138"/>
      <c r="N2558" s="138"/>
      <c r="O2558" s="138"/>
      <c r="S2558" s="72"/>
      <c r="T2558" s="72"/>
      <c r="U2558" s="72"/>
      <c r="V2558" s="72"/>
    </row>
    <row r="2559" spans="1:22" s="63" customFormat="1" ht="22.5" x14ac:dyDescent="0.25">
      <c r="A2559" s="87">
        <v>20.170000000000002</v>
      </c>
      <c r="B2559" s="81" t="s">
        <v>76</v>
      </c>
      <c r="C2559" s="80">
        <v>10.1</v>
      </c>
      <c r="D2559" s="131" t="s">
        <v>2333</v>
      </c>
      <c r="E2559" s="83" t="s">
        <v>4007</v>
      </c>
      <c r="F2559" s="81" t="s">
        <v>219</v>
      </c>
      <c r="G2559" s="82">
        <v>33</v>
      </c>
      <c r="H2559" s="85"/>
      <c r="I2559" s="86">
        <v>222615.47</v>
      </c>
      <c r="J2559" s="185">
        <f t="shared" si="240"/>
        <v>7680.91</v>
      </c>
      <c r="K2559" s="189">
        <f t="shared" si="241"/>
        <v>253470.03</v>
      </c>
      <c r="L2559" s="189"/>
      <c r="M2559" s="138"/>
      <c r="N2559" s="138"/>
      <c r="O2559" s="138"/>
      <c r="S2559" s="72"/>
      <c r="T2559" s="72"/>
      <c r="U2559" s="72"/>
      <c r="V2559" s="72"/>
    </row>
    <row r="2560" spans="1:22" s="63" customFormat="1" ht="22.5" x14ac:dyDescent="0.25">
      <c r="A2560" s="87">
        <v>20.18</v>
      </c>
      <c r="B2560" s="81" t="s">
        <v>76</v>
      </c>
      <c r="C2560" s="82">
        <v>11</v>
      </c>
      <c r="D2560" s="131" t="s">
        <v>2334</v>
      </c>
      <c r="E2560" s="83" t="s">
        <v>2335</v>
      </c>
      <c r="F2560" s="81" t="s">
        <v>219</v>
      </c>
      <c r="G2560" s="82">
        <v>22</v>
      </c>
      <c r="H2560" s="85"/>
      <c r="I2560" s="86">
        <v>59836.52</v>
      </c>
      <c r="J2560" s="185">
        <f t="shared" si="240"/>
        <v>3096.81</v>
      </c>
      <c r="K2560" s="189">
        <f t="shared" si="241"/>
        <v>68129.820000000007</v>
      </c>
      <c r="L2560" s="189"/>
      <c r="M2560" s="138"/>
      <c r="N2560" s="138"/>
      <c r="O2560" s="138"/>
      <c r="S2560" s="72"/>
      <c r="T2560" s="72"/>
      <c r="U2560" s="72"/>
      <c r="V2560" s="72"/>
    </row>
    <row r="2561" spans="1:22" s="63" customFormat="1" ht="22.5" x14ac:dyDescent="0.25">
      <c r="A2561" s="87">
        <v>20.190000000000001</v>
      </c>
      <c r="B2561" s="81" t="s">
        <v>76</v>
      </c>
      <c r="C2561" s="80">
        <v>11.1</v>
      </c>
      <c r="D2561" s="131" t="s">
        <v>2336</v>
      </c>
      <c r="E2561" s="83" t="s">
        <v>4008</v>
      </c>
      <c r="F2561" s="81" t="s">
        <v>219</v>
      </c>
      <c r="G2561" s="82">
        <v>22</v>
      </c>
      <c r="H2561" s="85"/>
      <c r="I2561" s="86">
        <v>62878.92</v>
      </c>
      <c r="J2561" s="185">
        <f t="shared" si="240"/>
        <v>3254.27</v>
      </c>
      <c r="K2561" s="189">
        <f t="shared" si="241"/>
        <v>71593.94</v>
      </c>
      <c r="L2561" s="189"/>
      <c r="M2561" s="138"/>
      <c r="N2561" s="138"/>
      <c r="O2561" s="138"/>
      <c r="S2561" s="72"/>
      <c r="T2561" s="72"/>
      <c r="U2561" s="72"/>
      <c r="V2561" s="72"/>
    </row>
    <row r="2562" spans="1:22" s="63" customFormat="1" ht="22.5" x14ac:dyDescent="0.25">
      <c r="A2562" s="87">
        <v>20.2</v>
      </c>
      <c r="B2562" s="81" t="s">
        <v>76</v>
      </c>
      <c r="C2562" s="82">
        <v>12</v>
      </c>
      <c r="D2562" s="131" t="s">
        <v>986</v>
      </c>
      <c r="E2562" s="83" t="s">
        <v>987</v>
      </c>
      <c r="F2562" s="81" t="s">
        <v>219</v>
      </c>
      <c r="G2562" s="82">
        <v>1</v>
      </c>
      <c r="H2562" s="85"/>
      <c r="I2562" s="86">
        <v>5477.02</v>
      </c>
      <c r="J2562" s="185">
        <f t="shared" si="240"/>
        <v>6236.13</v>
      </c>
      <c r="K2562" s="189">
        <f t="shared" si="241"/>
        <v>6236.13</v>
      </c>
      <c r="L2562" s="189"/>
      <c r="M2562" s="138"/>
      <c r="N2562" s="138"/>
      <c r="O2562" s="138"/>
      <c r="S2562" s="72"/>
      <c r="T2562" s="72"/>
      <c r="U2562" s="72"/>
      <c r="V2562" s="72"/>
    </row>
    <row r="2563" spans="1:22" s="63" customFormat="1" ht="22.5" x14ac:dyDescent="0.25">
      <c r="A2563" s="101">
        <v>20.21</v>
      </c>
      <c r="B2563" s="102" t="s">
        <v>76</v>
      </c>
      <c r="C2563" s="103">
        <v>12.1</v>
      </c>
      <c r="D2563" s="167" t="s">
        <v>2337</v>
      </c>
      <c r="E2563" s="104" t="s">
        <v>4009</v>
      </c>
      <c r="F2563" s="102" t="s">
        <v>219</v>
      </c>
      <c r="G2563" s="105">
        <v>1</v>
      </c>
      <c r="H2563" s="106"/>
      <c r="I2563" s="107">
        <f>353.26+0.01</f>
        <v>353.27</v>
      </c>
      <c r="J2563" s="192">
        <f>ROUND($I2563/$G2563*$N$12,2)</f>
        <v>395.13</v>
      </c>
      <c r="K2563" s="193">
        <f t="shared" si="241"/>
        <v>395.13</v>
      </c>
      <c r="L2563" s="193"/>
      <c r="M2563" s="138"/>
      <c r="N2563" s="138"/>
      <c r="O2563" s="138"/>
      <c r="S2563" s="72"/>
      <c r="T2563" s="72"/>
      <c r="U2563" s="72"/>
      <c r="V2563" s="72"/>
    </row>
    <row r="2564" spans="1:22" s="275" customFormat="1" ht="12.75" x14ac:dyDescent="0.25">
      <c r="A2564" s="273"/>
      <c r="B2564" s="263"/>
      <c r="C2564" s="262"/>
      <c r="D2564" s="219"/>
      <c r="E2564" s="248" t="s">
        <v>3358</v>
      </c>
      <c r="F2564" s="263"/>
      <c r="G2564" s="216"/>
      <c r="H2564" s="264"/>
      <c r="I2564" s="221"/>
      <c r="J2564" s="265"/>
      <c r="K2564" s="266"/>
      <c r="L2564" s="266"/>
      <c r="M2564" s="274"/>
      <c r="N2564" s="274"/>
      <c r="O2564" s="274"/>
      <c r="S2564" s="276"/>
      <c r="T2564" s="276"/>
      <c r="U2564" s="276"/>
      <c r="V2564" s="276"/>
    </row>
    <row r="2565" spans="1:22" s="63" customFormat="1" ht="33.75" x14ac:dyDescent="0.25">
      <c r="A2565" s="87">
        <v>20.22</v>
      </c>
      <c r="B2565" s="81" t="s">
        <v>76</v>
      </c>
      <c r="C2565" s="82">
        <v>13</v>
      </c>
      <c r="D2565" s="131" t="s">
        <v>2338</v>
      </c>
      <c r="E2565" s="83" t="s">
        <v>2339</v>
      </c>
      <c r="F2565" s="81" t="s">
        <v>193</v>
      </c>
      <c r="G2565" s="88">
        <v>0.1075</v>
      </c>
      <c r="H2565" s="85"/>
      <c r="I2565" s="86">
        <v>8763.0499999999993</v>
      </c>
      <c r="J2565" s="185">
        <f t="shared" ref="J2565:J2586" si="242">ROUND($I2565/$G2565*$N$11,2)</f>
        <v>92814.96</v>
      </c>
      <c r="K2565" s="189">
        <f t="shared" ref="K2565:K2586" si="243">ROUND(G2565*J2565,2)</f>
        <v>9977.61</v>
      </c>
      <c r="L2565" s="189"/>
      <c r="M2565" s="138"/>
      <c r="N2565" s="138"/>
      <c r="O2565" s="138"/>
      <c r="S2565" s="72"/>
      <c r="T2565" s="72"/>
      <c r="U2565" s="72"/>
      <c r="V2565" s="72"/>
    </row>
    <row r="2566" spans="1:22" s="63" customFormat="1" ht="15" x14ac:dyDescent="0.25">
      <c r="A2566" s="87">
        <v>20.23</v>
      </c>
      <c r="B2566" s="81" t="s">
        <v>76</v>
      </c>
      <c r="C2566" s="82">
        <v>14</v>
      </c>
      <c r="D2566" s="131" t="s">
        <v>2340</v>
      </c>
      <c r="E2566" s="83" t="s">
        <v>2341</v>
      </c>
      <c r="F2566" s="81" t="s">
        <v>319</v>
      </c>
      <c r="G2566" s="84">
        <v>1.506</v>
      </c>
      <c r="H2566" s="85"/>
      <c r="I2566" s="86">
        <v>16313.93</v>
      </c>
      <c r="J2566" s="185">
        <f t="shared" si="242"/>
        <v>12334.02</v>
      </c>
      <c r="K2566" s="189">
        <f t="shared" si="243"/>
        <v>18575.03</v>
      </c>
      <c r="L2566" s="189"/>
      <c r="M2566" s="138"/>
      <c r="N2566" s="138"/>
      <c r="O2566" s="138"/>
      <c r="S2566" s="72"/>
      <c r="T2566" s="72"/>
      <c r="U2566" s="72"/>
      <c r="V2566" s="72"/>
    </row>
    <row r="2567" spans="1:22" s="63" customFormat="1" ht="22.5" x14ac:dyDescent="0.25">
      <c r="A2567" s="87">
        <v>20.239999999999998</v>
      </c>
      <c r="B2567" s="81" t="s">
        <v>76</v>
      </c>
      <c r="C2567" s="80">
        <v>14.1</v>
      </c>
      <c r="D2567" s="131" t="s">
        <v>2342</v>
      </c>
      <c r="E2567" s="83" t="s">
        <v>2343</v>
      </c>
      <c r="F2567" s="81" t="s">
        <v>205</v>
      </c>
      <c r="G2567" s="84">
        <v>16.565999999999999</v>
      </c>
      <c r="H2567" s="85"/>
      <c r="I2567" s="86">
        <v>22227.71</v>
      </c>
      <c r="J2567" s="185">
        <f t="shared" si="242"/>
        <v>1527.74</v>
      </c>
      <c r="K2567" s="189">
        <f t="shared" si="243"/>
        <v>25308.54</v>
      </c>
      <c r="L2567" s="189"/>
      <c r="M2567" s="138"/>
      <c r="N2567" s="138"/>
      <c r="O2567" s="138"/>
      <c r="S2567" s="72"/>
      <c r="T2567" s="72"/>
      <c r="U2567" s="72"/>
      <c r="V2567" s="72"/>
    </row>
    <row r="2568" spans="1:22" s="63" customFormat="1" ht="15" x14ac:dyDescent="0.25">
      <c r="A2568" s="87">
        <v>20.25</v>
      </c>
      <c r="B2568" s="81" t="s">
        <v>76</v>
      </c>
      <c r="C2568" s="82">
        <v>15</v>
      </c>
      <c r="D2568" s="131" t="s">
        <v>2344</v>
      </c>
      <c r="E2568" s="83" t="s">
        <v>2345</v>
      </c>
      <c r="F2568" s="81" t="s">
        <v>354</v>
      </c>
      <c r="G2568" s="84">
        <v>2.5750000000000002</v>
      </c>
      <c r="H2568" s="85"/>
      <c r="I2568" s="86">
        <v>32700.240000000002</v>
      </c>
      <c r="J2568" s="185">
        <f t="shared" si="242"/>
        <v>14459.22</v>
      </c>
      <c r="K2568" s="189">
        <f t="shared" si="243"/>
        <v>37232.49</v>
      </c>
      <c r="L2568" s="189"/>
      <c r="M2568" s="138"/>
      <c r="N2568" s="138"/>
      <c r="O2568" s="138"/>
      <c r="S2568" s="72"/>
      <c r="T2568" s="72"/>
      <c r="U2568" s="72"/>
      <c r="V2568" s="72"/>
    </row>
    <row r="2569" spans="1:22" s="63" customFormat="1" ht="22.5" x14ac:dyDescent="0.25">
      <c r="A2569" s="87">
        <v>20.260000000000002</v>
      </c>
      <c r="B2569" s="81" t="s">
        <v>76</v>
      </c>
      <c r="C2569" s="80">
        <v>15.1</v>
      </c>
      <c r="D2569" s="131" t="s">
        <v>2346</v>
      </c>
      <c r="E2569" s="83" t="s">
        <v>2347</v>
      </c>
      <c r="F2569" s="81" t="s">
        <v>1397</v>
      </c>
      <c r="G2569" s="84">
        <v>6.0860000000000003</v>
      </c>
      <c r="H2569" s="85"/>
      <c r="I2569" s="86">
        <v>87462.14</v>
      </c>
      <c r="J2569" s="185">
        <f t="shared" si="242"/>
        <v>16362.86</v>
      </c>
      <c r="K2569" s="189">
        <f t="shared" si="243"/>
        <v>99584.37</v>
      </c>
      <c r="L2569" s="189"/>
      <c r="M2569" s="138"/>
      <c r="N2569" s="138"/>
      <c r="O2569" s="138"/>
      <c r="S2569" s="72"/>
      <c r="T2569" s="72"/>
      <c r="U2569" s="72"/>
      <c r="V2569" s="72"/>
    </row>
    <row r="2570" spans="1:22" s="63" customFormat="1" ht="15" x14ac:dyDescent="0.25">
      <c r="A2570" s="87">
        <v>20.27</v>
      </c>
      <c r="B2570" s="81" t="s">
        <v>76</v>
      </c>
      <c r="C2570" s="82">
        <v>16</v>
      </c>
      <c r="D2570" s="131" t="s">
        <v>2348</v>
      </c>
      <c r="E2570" s="83" t="s">
        <v>2349</v>
      </c>
      <c r="F2570" s="81" t="s">
        <v>2350</v>
      </c>
      <c r="G2570" s="88">
        <v>0.3795</v>
      </c>
      <c r="H2570" s="85"/>
      <c r="I2570" s="86">
        <v>132985.97</v>
      </c>
      <c r="J2570" s="185">
        <f t="shared" si="242"/>
        <v>398992.95</v>
      </c>
      <c r="K2570" s="189">
        <f t="shared" si="243"/>
        <v>151417.82</v>
      </c>
      <c r="L2570" s="189"/>
      <c r="M2570" s="138"/>
      <c r="N2570" s="138"/>
      <c r="O2570" s="138"/>
      <c r="S2570" s="72"/>
      <c r="T2570" s="72"/>
      <c r="U2570" s="72"/>
      <c r="V2570" s="72"/>
    </row>
    <row r="2571" spans="1:22" s="63" customFormat="1" ht="22.5" x14ac:dyDescent="0.25">
      <c r="A2571" s="87">
        <v>20.28</v>
      </c>
      <c r="B2571" s="81" t="s">
        <v>76</v>
      </c>
      <c r="C2571" s="80">
        <v>16.100000000000001</v>
      </c>
      <c r="D2571" s="131" t="s">
        <v>2351</v>
      </c>
      <c r="E2571" s="83" t="s">
        <v>2352</v>
      </c>
      <c r="F2571" s="81" t="s">
        <v>334</v>
      </c>
      <c r="G2571" s="80">
        <v>-379.5</v>
      </c>
      <c r="H2571" s="85"/>
      <c r="I2571" s="86">
        <v>-87079.77</v>
      </c>
      <c r="J2571" s="185">
        <f t="shared" si="242"/>
        <v>261.26</v>
      </c>
      <c r="K2571" s="189">
        <f t="shared" si="243"/>
        <v>-99148.17</v>
      </c>
      <c r="L2571" s="189"/>
      <c r="M2571" s="138"/>
      <c r="N2571" s="138"/>
      <c r="O2571" s="138"/>
      <c r="S2571" s="72"/>
      <c r="T2571" s="72"/>
      <c r="U2571" s="72"/>
      <c r="V2571" s="72"/>
    </row>
    <row r="2572" spans="1:22" s="63" customFormat="1" ht="22.5" x14ac:dyDescent="0.25">
      <c r="A2572" s="87">
        <v>20.29</v>
      </c>
      <c r="B2572" s="81" t="s">
        <v>76</v>
      </c>
      <c r="C2572" s="80">
        <v>16.2</v>
      </c>
      <c r="D2572" s="131" t="s">
        <v>2353</v>
      </c>
      <c r="E2572" s="83" t="s">
        <v>2354</v>
      </c>
      <c r="F2572" s="81" t="s">
        <v>772</v>
      </c>
      <c r="G2572" s="87">
        <v>37.950000000000003</v>
      </c>
      <c r="H2572" s="85"/>
      <c r="I2572" s="86">
        <v>74199.77</v>
      </c>
      <c r="J2572" s="185">
        <f t="shared" si="242"/>
        <v>2226.19</v>
      </c>
      <c r="K2572" s="189">
        <f t="shared" si="243"/>
        <v>84483.91</v>
      </c>
      <c r="L2572" s="189"/>
      <c r="M2572" s="138"/>
      <c r="N2572" s="138"/>
      <c r="O2572" s="138"/>
      <c r="S2572" s="72"/>
      <c r="T2572" s="72"/>
      <c r="U2572" s="72"/>
      <c r="V2572" s="72"/>
    </row>
    <row r="2573" spans="1:22" s="63" customFormat="1" ht="22.5" x14ac:dyDescent="0.25">
      <c r="A2573" s="87">
        <v>20.3</v>
      </c>
      <c r="B2573" s="81" t="s">
        <v>76</v>
      </c>
      <c r="C2573" s="82">
        <v>17</v>
      </c>
      <c r="D2573" s="131" t="s">
        <v>2116</v>
      </c>
      <c r="E2573" s="83" t="s">
        <v>2117</v>
      </c>
      <c r="F2573" s="81" t="s">
        <v>354</v>
      </c>
      <c r="G2573" s="84">
        <v>8.3249999999999993</v>
      </c>
      <c r="H2573" s="85"/>
      <c r="I2573" s="86">
        <v>93670.86</v>
      </c>
      <c r="J2573" s="185">
        <f t="shared" si="242"/>
        <v>12811.25</v>
      </c>
      <c r="K2573" s="189">
        <f t="shared" si="243"/>
        <v>106653.66</v>
      </c>
      <c r="L2573" s="189"/>
      <c r="M2573" s="138"/>
      <c r="N2573" s="138"/>
      <c r="O2573" s="138"/>
      <c r="S2573" s="72"/>
      <c r="T2573" s="72"/>
      <c r="U2573" s="72"/>
      <c r="V2573" s="72"/>
    </row>
    <row r="2574" spans="1:22" s="63" customFormat="1" ht="33.75" x14ac:dyDescent="0.25">
      <c r="A2574" s="87">
        <v>20.309999999999999</v>
      </c>
      <c r="B2574" s="81" t="s">
        <v>76</v>
      </c>
      <c r="C2574" s="80">
        <v>17.100000000000001</v>
      </c>
      <c r="D2574" s="131" t="s">
        <v>2355</v>
      </c>
      <c r="E2574" s="83" t="s">
        <v>2356</v>
      </c>
      <c r="F2574" s="81" t="s">
        <v>2120</v>
      </c>
      <c r="G2574" s="88">
        <v>0.26250000000000001</v>
      </c>
      <c r="H2574" s="85"/>
      <c r="I2574" s="86">
        <v>64054.37</v>
      </c>
      <c r="J2574" s="185">
        <f t="shared" si="242"/>
        <v>277837.34999999998</v>
      </c>
      <c r="K2574" s="189">
        <f t="shared" si="243"/>
        <v>72932.3</v>
      </c>
      <c r="L2574" s="189"/>
      <c r="M2574" s="138"/>
      <c r="N2574" s="138"/>
      <c r="O2574" s="138"/>
      <c r="S2574" s="72"/>
      <c r="T2574" s="72"/>
      <c r="U2574" s="72"/>
      <c r="V2574" s="72"/>
    </row>
    <row r="2575" spans="1:22" s="63" customFormat="1" ht="33.75" x14ac:dyDescent="0.25">
      <c r="A2575" s="87">
        <v>20.32</v>
      </c>
      <c r="B2575" s="81" t="s">
        <v>76</v>
      </c>
      <c r="C2575" s="80">
        <v>17.2</v>
      </c>
      <c r="D2575" s="131" t="s">
        <v>2357</v>
      </c>
      <c r="E2575" s="83" t="s">
        <v>2358</v>
      </c>
      <c r="F2575" s="81" t="s">
        <v>2120</v>
      </c>
      <c r="G2575" s="87">
        <v>0.25</v>
      </c>
      <c r="H2575" s="85"/>
      <c r="I2575" s="86">
        <v>46838.09</v>
      </c>
      <c r="J2575" s="185">
        <f t="shared" si="242"/>
        <v>213319.4</v>
      </c>
      <c r="K2575" s="189">
        <f t="shared" si="243"/>
        <v>53329.85</v>
      </c>
      <c r="L2575" s="189"/>
      <c r="M2575" s="138"/>
      <c r="N2575" s="138"/>
      <c r="O2575" s="138"/>
      <c r="S2575" s="72"/>
      <c r="T2575" s="72"/>
      <c r="U2575" s="72"/>
      <c r="V2575" s="72"/>
    </row>
    <row r="2576" spans="1:22" s="63" customFormat="1" ht="33.75" x14ac:dyDescent="0.25">
      <c r="A2576" s="87">
        <v>20.329999999999998</v>
      </c>
      <c r="B2576" s="81" t="s">
        <v>76</v>
      </c>
      <c r="C2576" s="80">
        <v>17.3</v>
      </c>
      <c r="D2576" s="131" t="s">
        <v>2359</v>
      </c>
      <c r="E2576" s="83" t="s">
        <v>2360</v>
      </c>
      <c r="F2576" s="81" t="s">
        <v>2120</v>
      </c>
      <c r="G2576" s="87">
        <v>0.12</v>
      </c>
      <c r="H2576" s="85"/>
      <c r="I2576" s="86">
        <v>15335.76</v>
      </c>
      <c r="J2576" s="185">
        <f t="shared" si="242"/>
        <v>145510.79999999999</v>
      </c>
      <c r="K2576" s="189">
        <f t="shared" si="243"/>
        <v>17461.3</v>
      </c>
      <c r="L2576" s="189"/>
      <c r="M2576" s="138"/>
      <c r="N2576" s="138"/>
      <c r="O2576" s="138"/>
      <c r="S2576" s="72"/>
      <c r="T2576" s="72"/>
      <c r="U2576" s="72"/>
      <c r="V2576" s="72"/>
    </row>
    <row r="2577" spans="1:22" s="63" customFormat="1" ht="33.75" x14ac:dyDescent="0.25">
      <c r="A2577" s="87">
        <v>20.34</v>
      </c>
      <c r="B2577" s="81" t="s">
        <v>76</v>
      </c>
      <c r="C2577" s="80">
        <v>17.399999999999999</v>
      </c>
      <c r="D2577" s="131" t="s">
        <v>2361</v>
      </c>
      <c r="E2577" s="83" t="s">
        <v>2362</v>
      </c>
      <c r="F2577" s="81" t="s">
        <v>2120</v>
      </c>
      <c r="G2577" s="80">
        <v>0.2</v>
      </c>
      <c r="H2577" s="85"/>
      <c r="I2577" s="86">
        <v>10000.66</v>
      </c>
      <c r="J2577" s="185">
        <f t="shared" si="242"/>
        <v>56933.760000000002</v>
      </c>
      <c r="K2577" s="189">
        <f t="shared" si="243"/>
        <v>11386.75</v>
      </c>
      <c r="L2577" s="189"/>
      <c r="M2577" s="138"/>
      <c r="N2577" s="138"/>
      <c r="O2577" s="138"/>
      <c r="S2577" s="72"/>
      <c r="T2577" s="72"/>
      <c r="U2577" s="72"/>
      <c r="V2577" s="72"/>
    </row>
    <row r="2578" spans="1:22" s="63" customFormat="1" ht="22.5" x14ac:dyDescent="0.25">
      <c r="A2578" s="87">
        <v>20.350000000000001</v>
      </c>
      <c r="B2578" s="81" t="s">
        <v>76</v>
      </c>
      <c r="C2578" s="82">
        <v>19</v>
      </c>
      <c r="D2578" s="131" t="s">
        <v>2363</v>
      </c>
      <c r="E2578" s="83" t="s">
        <v>2364</v>
      </c>
      <c r="F2578" s="81" t="s">
        <v>219</v>
      </c>
      <c r="G2578" s="82">
        <v>16</v>
      </c>
      <c r="H2578" s="85"/>
      <c r="I2578" s="86">
        <v>50120.33</v>
      </c>
      <c r="J2578" s="185">
        <f t="shared" si="242"/>
        <v>3566.69</v>
      </c>
      <c r="K2578" s="189">
        <f t="shared" si="243"/>
        <v>57067.040000000001</v>
      </c>
      <c r="L2578" s="189"/>
      <c r="M2578" s="138"/>
      <c r="N2578" s="138"/>
      <c r="O2578" s="138"/>
      <c r="S2578" s="72"/>
      <c r="T2578" s="72"/>
      <c r="U2578" s="72"/>
      <c r="V2578" s="72"/>
    </row>
    <row r="2579" spans="1:22" s="63" customFormat="1" ht="22.5" x14ac:dyDescent="0.25">
      <c r="A2579" s="87">
        <v>20.36</v>
      </c>
      <c r="B2579" s="81" t="s">
        <v>76</v>
      </c>
      <c r="C2579" s="82">
        <v>20</v>
      </c>
      <c r="D2579" s="131" t="s">
        <v>2365</v>
      </c>
      <c r="E2579" s="83" t="s">
        <v>2366</v>
      </c>
      <c r="F2579" s="81" t="s">
        <v>219</v>
      </c>
      <c r="G2579" s="82">
        <v>48</v>
      </c>
      <c r="H2579" s="85"/>
      <c r="I2579" s="86">
        <v>118834.12</v>
      </c>
      <c r="J2579" s="185">
        <f t="shared" si="242"/>
        <v>2818.84</v>
      </c>
      <c r="K2579" s="189">
        <f t="shared" si="243"/>
        <v>135304.32000000001</v>
      </c>
      <c r="L2579" s="189"/>
      <c r="M2579" s="138"/>
      <c r="N2579" s="138"/>
      <c r="O2579" s="138"/>
      <c r="S2579" s="72"/>
      <c r="T2579" s="72"/>
      <c r="U2579" s="72"/>
      <c r="V2579" s="72"/>
    </row>
    <row r="2580" spans="1:22" s="63" customFormat="1" ht="33.75" x14ac:dyDescent="0.25">
      <c r="A2580" s="87">
        <v>20.37</v>
      </c>
      <c r="B2580" s="81" t="s">
        <v>76</v>
      </c>
      <c r="C2580" s="82">
        <v>21</v>
      </c>
      <c r="D2580" s="131" t="s">
        <v>2367</v>
      </c>
      <c r="E2580" s="83" t="s">
        <v>2368</v>
      </c>
      <c r="F2580" s="81" t="s">
        <v>219</v>
      </c>
      <c r="G2580" s="82">
        <v>16</v>
      </c>
      <c r="H2580" s="85"/>
      <c r="I2580" s="86">
        <v>198469.23</v>
      </c>
      <c r="J2580" s="185">
        <f t="shared" si="242"/>
        <v>14123.57</v>
      </c>
      <c r="K2580" s="189">
        <f t="shared" si="243"/>
        <v>225977.12</v>
      </c>
      <c r="L2580" s="189"/>
      <c r="M2580" s="138"/>
      <c r="N2580" s="138"/>
      <c r="O2580" s="138"/>
      <c r="S2580" s="72"/>
      <c r="T2580" s="72"/>
      <c r="U2580" s="72"/>
      <c r="V2580" s="72"/>
    </row>
    <row r="2581" spans="1:22" s="63" customFormat="1" ht="15" x14ac:dyDescent="0.25">
      <c r="A2581" s="87">
        <v>20.38</v>
      </c>
      <c r="B2581" s="81" t="s">
        <v>76</v>
      </c>
      <c r="C2581" s="80">
        <v>21.1</v>
      </c>
      <c r="D2581" s="131" t="s">
        <v>2369</v>
      </c>
      <c r="E2581" s="83" t="s">
        <v>4010</v>
      </c>
      <c r="F2581" s="81" t="s">
        <v>219</v>
      </c>
      <c r="G2581" s="82">
        <v>16</v>
      </c>
      <c r="H2581" s="85"/>
      <c r="I2581" s="86">
        <v>29449.81</v>
      </c>
      <c r="J2581" s="185">
        <f t="shared" si="242"/>
        <v>2095.7199999999998</v>
      </c>
      <c r="K2581" s="189">
        <f t="shared" si="243"/>
        <v>33531.519999999997</v>
      </c>
      <c r="L2581" s="189"/>
      <c r="M2581" s="138"/>
      <c r="N2581" s="138"/>
      <c r="O2581" s="138"/>
      <c r="S2581" s="72"/>
      <c r="T2581" s="72"/>
      <c r="U2581" s="72"/>
      <c r="V2581" s="72"/>
    </row>
    <row r="2582" spans="1:22" s="63" customFormat="1" ht="22.5" x14ac:dyDescent="0.25">
      <c r="A2582" s="87">
        <v>20.39</v>
      </c>
      <c r="B2582" s="81" t="s">
        <v>76</v>
      </c>
      <c r="C2582" s="80">
        <v>21.2</v>
      </c>
      <c r="D2582" s="131" t="s">
        <v>2370</v>
      </c>
      <c r="E2582" s="83" t="s">
        <v>2371</v>
      </c>
      <c r="F2582" s="81" t="s">
        <v>216</v>
      </c>
      <c r="G2582" s="80">
        <v>0.1</v>
      </c>
      <c r="H2582" s="85"/>
      <c r="I2582" s="86">
        <v>92.35</v>
      </c>
      <c r="J2582" s="185">
        <f t="shared" si="242"/>
        <v>1051.5</v>
      </c>
      <c r="K2582" s="189">
        <f t="shared" si="243"/>
        <v>105.15</v>
      </c>
      <c r="L2582" s="189"/>
      <c r="M2582" s="138"/>
      <c r="N2582" s="138"/>
      <c r="O2582" s="138"/>
      <c r="S2582" s="72"/>
      <c r="T2582" s="72"/>
      <c r="U2582" s="72"/>
      <c r="V2582" s="72"/>
    </row>
    <row r="2583" spans="1:22" s="63" customFormat="1" ht="15" x14ac:dyDescent="0.25">
      <c r="A2583" s="87">
        <v>20.399999999999999</v>
      </c>
      <c r="B2583" s="81" t="s">
        <v>76</v>
      </c>
      <c r="C2583" s="82">
        <v>22</v>
      </c>
      <c r="D2583" s="131" t="s">
        <v>199</v>
      </c>
      <c r="E2583" s="83" t="s">
        <v>200</v>
      </c>
      <c r="F2583" s="81" t="s">
        <v>196</v>
      </c>
      <c r="G2583" s="88">
        <v>0.4511</v>
      </c>
      <c r="H2583" s="85"/>
      <c r="I2583" s="86">
        <v>31376.27</v>
      </c>
      <c r="J2583" s="185">
        <f t="shared" si="242"/>
        <v>79195.350000000006</v>
      </c>
      <c r="K2583" s="189">
        <f t="shared" si="243"/>
        <v>35725.019999999997</v>
      </c>
      <c r="L2583" s="189"/>
      <c r="M2583" s="138"/>
      <c r="N2583" s="138"/>
      <c r="O2583" s="138"/>
      <c r="S2583" s="72"/>
      <c r="T2583" s="72"/>
      <c r="U2583" s="72"/>
      <c r="V2583" s="72"/>
    </row>
    <row r="2584" spans="1:22" s="63" customFormat="1" ht="22.5" x14ac:dyDescent="0.25">
      <c r="A2584" s="87">
        <v>20.41</v>
      </c>
      <c r="B2584" s="81" t="s">
        <v>76</v>
      </c>
      <c r="C2584" s="80">
        <v>22.1</v>
      </c>
      <c r="D2584" s="131" t="s">
        <v>2372</v>
      </c>
      <c r="E2584" s="83" t="s">
        <v>2373</v>
      </c>
      <c r="F2584" s="81" t="s">
        <v>205</v>
      </c>
      <c r="G2584" s="84">
        <v>49.621000000000002</v>
      </c>
      <c r="H2584" s="85"/>
      <c r="I2584" s="86">
        <v>65866.070000000007</v>
      </c>
      <c r="J2584" s="185">
        <f t="shared" si="242"/>
        <v>1511.36</v>
      </c>
      <c r="K2584" s="189">
        <f t="shared" si="243"/>
        <v>74995.19</v>
      </c>
      <c r="L2584" s="189"/>
      <c r="M2584" s="138"/>
      <c r="N2584" s="138"/>
      <c r="O2584" s="138"/>
      <c r="S2584" s="72"/>
      <c r="T2584" s="72"/>
      <c r="U2584" s="72"/>
      <c r="V2584" s="72"/>
    </row>
    <row r="2585" spans="1:22" s="63" customFormat="1" ht="22.5" x14ac:dyDescent="0.25">
      <c r="A2585" s="87">
        <v>20.420000000000002</v>
      </c>
      <c r="B2585" s="81" t="s">
        <v>76</v>
      </c>
      <c r="C2585" s="82">
        <v>23</v>
      </c>
      <c r="D2585" s="131" t="s">
        <v>197</v>
      </c>
      <c r="E2585" s="83" t="s">
        <v>198</v>
      </c>
      <c r="F2585" s="81" t="s">
        <v>193</v>
      </c>
      <c r="G2585" s="89">
        <v>6.6879999999999995E-2</v>
      </c>
      <c r="H2585" s="85"/>
      <c r="I2585" s="86">
        <v>895.96</v>
      </c>
      <c r="J2585" s="185">
        <f t="shared" si="242"/>
        <v>15253.29</v>
      </c>
      <c r="K2585" s="189">
        <f t="shared" si="243"/>
        <v>1020.14</v>
      </c>
      <c r="L2585" s="189"/>
      <c r="M2585" s="138"/>
      <c r="N2585" s="138"/>
      <c r="O2585" s="138"/>
      <c r="S2585" s="72"/>
      <c r="T2585" s="72"/>
      <c r="U2585" s="72"/>
      <c r="V2585" s="72"/>
    </row>
    <row r="2586" spans="1:22" s="63" customFormat="1" ht="15" x14ac:dyDescent="0.25">
      <c r="A2586" s="87">
        <v>20.43</v>
      </c>
      <c r="B2586" s="81" t="s">
        <v>76</v>
      </c>
      <c r="C2586" s="82">
        <v>24</v>
      </c>
      <c r="D2586" s="131" t="s">
        <v>201</v>
      </c>
      <c r="E2586" s="83" t="s">
        <v>202</v>
      </c>
      <c r="F2586" s="81" t="s">
        <v>196</v>
      </c>
      <c r="G2586" s="88">
        <v>0.66879999999999995</v>
      </c>
      <c r="H2586" s="85"/>
      <c r="I2586" s="86">
        <v>10920.76</v>
      </c>
      <c r="J2586" s="185">
        <f t="shared" si="242"/>
        <v>18592.07</v>
      </c>
      <c r="K2586" s="189">
        <f t="shared" si="243"/>
        <v>12434.38</v>
      </c>
      <c r="L2586" s="189"/>
      <c r="M2586" s="138"/>
      <c r="N2586" s="138"/>
      <c r="O2586" s="138"/>
      <c r="S2586" s="72"/>
      <c r="T2586" s="72"/>
      <c r="U2586" s="72"/>
      <c r="V2586" s="72"/>
    </row>
    <row r="2587" spans="1:22" s="128" customFormat="1" ht="12.75" x14ac:dyDescent="0.25">
      <c r="A2587" s="237"/>
      <c r="B2587" s="125"/>
      <c r="C2587" s="76"/>
      <c r="D2587" s="77"/>
      <c r="E2587" s="126" t="s">
        <v>3359</v>
      </c>
      <c r="F2587" s="125"/>
      <c r="G2587" s="240"/>
      <c r="H2587" s="127"/>
      <c r="I2587" s="78"/>
      <c r="J2587" s="238"/>
      <c r="K2587" s="239"/>
      <c r="L2587" s="239"/>
      <c r="M2587" s="79"/>
      <c r="N2587" s="79"/>
      <c r="O2587" s="79"/>
      <c r="S2587" s="129"/>
      <c r="T2587" s="129"/>
      <c r="U2587" s="129"/>
      <c r="V2587" s="129"/>
    </row>
    <row r="2588" spans="1:22" s="63" customFormat="1" ht="33.75" x14ac:dyDescent="0.25">
      <c r="A2588" s="87">
        <v>20.440000000000001</v>
      </c>
      <c r="B2588" s="81" t="s">
        <v>76</v>
      </c>
      <c r="C2588" s="82">
        <v>25</v>
      </c>
      <c r="D2588" s="131" t="s">
        <v>2338</v>
      </c>
      <c r="E2588" s="83" t="s">
        <v>2339</v>
      </c>
      <c r="F2588" s="81" t="s">
        <v>193</v>
      </c>
      <c r="G2588" s="84">
        <v>2.8000000000000001E-2</v>
      </c>
      <c r="H2588" s="85"/>
      <c r="I2588" s="86">
        <v>2282.36</v>
      </c>
      <c r="J2588" s="185">
        <f t="shared" ref="J2588:J2594" si="244">ROUND($I2588/$G2588*$N$11,2)</f>
        <v>92810.54</v>
      </c>
      <c r="K2588" s="189">
        <f t="shared" ref="K2588:K2594" si="245">ROUND(G2588*J2588,2)</f>
        <v>2598.6999999999998</v>
      </c>
      <c r="L2588" s="189"/>
      <c r="M2588" s="138"/>
      <c r="N2588" s="138"/>
      <c r="O2588" s="138"/>
      <c r="S2588" s="72"/>
      <c r="T2588" s="72"/>
      <c r="U2588" s="72"/>
      <c r="V2588" s="72"/>
    </row>
    <row r="2589" spans="1:22" s="63" customFormat="1" ht="22.5" x14ac:dyDescent="0.25">
      <c r="A2589" s="87">
        <v>20.45</v>
      </c>
      <c r="B2589" s="81" t="s">
        <v>76</v>
      </c>
      <c r="C2589" s="82">
        <v>26</v>
      </c>
      <c r="D2589" s="131" t="s">
        <v>197</v>
      </c>
      <c r="E2589" s="83" t="s">
        <v>198</v>
      </c>
      <c r="F2589" s="81" t="s">
        <v>193</v>
      </c>
      <c r="G2589" s="84">
        <v>2.8000000000000001E-2</v>
      </c>
      <c r="H2589" s="85"/>
      <c r="I2589" s="86">
        <v>375.31</v>
      </c>
      <c r="J2589" s="185">
        <f t="shared" si="244"/>
        <v>15261.71</v>
      </c>
      <c r="K2589" s="189">
        <f t="shared" si="245"/>
        <v>427.33</v>
      </c>
      <c r="L2589" s="189"/>
      <c r="M2589" s="138"/>
      <c r="N2589" s="138"/>
      <c r="O2589" s="138"/>
      <c r="S2589" s="72"/>
      <c r="T2589" s="72"/>
      <c r="U2589" s="72"/>
      <c r="V2589" s="72"/>
    </row>
    <row r="2590" spans="1:22" s="63" customFormat="1" ht="15" x14ac:dyDescent="0.25">
      <c r="A2590" s="87">
        <v>20.46</v>
      </c>
      <c r="B2590" s="81" t="s">
        <v>76</v>
      </c>
      <c r="C2590" s="82">
        <v>27</v>
      </c>
      <c r="D2590" s="131" t="s">
        <v>2374</v>
      </c>
      <c r="E2590" s="83" t="s">
        <v>2375</v>
      </c>
      <c r="F2590" s="81" t="s">
        <v>354</v>
      </c>
      <c r="G2590" s="80">
        <v>2.1</v>
      </c>
      <c r="H2590" s="85"/>
      <c r="I2590" s="86">
        <v>37309.379999999997</v>
      </c>
      <c r="J2590" s="185">
        <f t="shared" si="244"/>
        <v>20228.79</v>
      </c>
      <c r="K2590" s="189">
        <f t="shared" si="245"/>
        <v>42480.46</v>
      </c>
      <c r="L2590" s="189"/>
      <c r="M2590" s="138"/>
      <c r="N2590" s="138"/>
      <c r="O2590" s="138"/>
      <c r="S2590" s="72"/>
      <c r="T2590" s="72"/>
      <c r="U2590" s="72"/>
      <c r="V2590" s="72"/>
    </row>
    <row r="2591" spans="1:22" s="63" customFormat="1" ht="22.5" x14ac:dyDescent="0.25">
      <c r="A2591" s="87">
        <v>20.47</v>
      </c>
      <c r="B2591" s="81" t="s">
        <v>76</v>
      </c>
      <c r="C2591" s="80">
        <v>27.1</v>
      </c>
      <c r="D2591" s="131" t="s">
        <v>1451</v>
      </c>
      <c r="E2591" s="83" t="s">
        <v>1452</v>
      </c>
      <c r="F2591" s="81" t="s">
        <v>226</v>
      </c>
      <c r="G2591" s="88">
        <v>0.32969999999999999</v>
      </c>
      <c r="H2591" s="85"/>
      <c r="I2591" s="86">
        <v>17517.580000000002</v>
      </c>
      <c r="J2591" s="185">
        <f t="shared" si="244"/>
        <v>60495.96</v>
      </c>
      <c r="K2591" s="189">
        <f t="shared" si="245"/>
        <v>19945.52</v>
      </c>
      <c r="L2591" s="189"/>
      <c r="M2591" s="138"/>
      <c r="N2591" s="138"/>
      <c r="O2591" s="138"/>
      <c r="S2591" s="72"/>
      <c r="T2591" s="72"/>
      <c r="U2591" s="72"/>
      <c r="V2591" s="72"/>
    </row>
    <row r="2592" spans="1:22" s="63" customFormat="1" ht="15" x14ac:dyDescent="0.25">
      <c r="A2592" s="87">
        <v>20.48</v>
      </c>
      <c r="B2592" s="81" t="s">
        <v>76</v>
      </c>
      <c r="C2592" s="82">
        <v>28</v>
      </c>
      <c r="D2592" s="131" t="s">
        <v>2376</v>
      </c>
      <c r="E2592" s="83" t="s">
        <v>2377</v>
      </c>
      <c r="F2592" s="81" t="s">
        <v>566</v>
      </c>
      <c r="G2592" s="80">
        <v>2.2999999999999998</v>
      </c>
      <c r="H2592" s="85"/>
      <c r="I2592" s="86">
        <v>24897.3</v>
      </c>
      <c r="J2592" s="185">
        <f t="shared" si="244"/>
        <v>12325.25</v>
      </c>
      <c r="K2592" s="189">
        <f t="shared" si="245"/>
        <v>28348.080000000002</v>
      </c>
      <c r="L2592" s="189"/>
      <c r="M2592" s="138"/>
      <c r="N2592" s="138"/>
      <c r="O2592" s="138"/>
      <c r="S2592" s="72"/>
      <c r="T2592" s="72"/>
      <c r="U2592" s="72"/>
      <c r="V2592" s="72"/>
    </row>
    <row r="2593" spans="1:22" s="63" customFormat="1" ht="22.5" x14ac:dyDescent="0.25">
      <c r="A2593" s="87">
        <v>20.49</v>
      </c>
      <c r="B2593" s="81" t="s">
        <v>76</v>
      </c>
      <c r="C2593" s="80">
        <v>28.1</v>
      </c>
      <c r="D2593" s="131" t="s">
        <v>2378</v>
      </c>
      <c r="E2593" s="83" t="s">
        <v>2379</v>
      </c>
      <c r="F2593" s="81" t="s">
        <v>226</v>
      </c>
      <c r="G2593" s="88">
        <v>0.1104</v>
      </c>
      <c r="H2593" s="85"/>
      <c r="I2593" s="86">
        <v>9964.7800000000007</v>
      </c>
      <c r="J2593" s="185">
        <f t="shared" si="244"/>
        <v>102770.82</v>
      </c>
      <c r="K2593" s="189">
        <f t="shared" si="245"/>
        <v>11345.9</v>
      </c>
      <c r="L2593" s="189"/>
      <c r="M2593" s="138"/>
      <c r="N2593" s="138"/>
      <c r="O2593" s="138"/>
      <c r="S2593" s="72"/>
      <c r="T2593" s="72"/>
      <c r="U2593" s="72"/>
      <c r="V2593" s="72"/>
    </row>
    <row r="2594" spans="1:22" s="63" customFormat="1" ht="22.5" x14ac:dyDescent="0.25">
      <c r="A2594" s="87">
        <v>20.5</v>
      </c>
      <c r="B2594" s="81" t="s">
        <v>76</v>
      </c>
      <c r="C2594" s="80">
        <v>28.2</v>
      </c>
      <c r="D2594" s="131" t="s">
        <v>2380</v>
      </c>
      <c r="E2594" s="83" t="s">
        <v>4011</v>
      </c>
      <c r="F2594" s="81" t="s">
        <v>219</v>
      </c>
      <c r="G2594" s="82">
        <v>45</v>
      </c>
      <c r="H2594" s="85"/>
      <c r="I2594" s="86">
        <v>24171.360000000001</v>
      </c>
      <c r="J2594" s="185">
        <f t="shared" si="244"/>
        <v>611.59</v>
      </c>
      <c r="K2594" s="189">
        <f t="shared" si="245"/>
        <v>27521.55</v>
      </c>
      <c r="L2594" s="189"/>
      <c r="M2594" s="138"/>
      <c r="N2594" s="138"/>
      <c r="O2594" s="138"/>
      <c r="S2594" s="72"/>
      <c r="T2594" s="72"/>
      <c r="U2594" s="72"/>
      <c r="V2594" s="72"/>
    </row>
    <row r="2595" spans="1:22" s="234" customFormat="1" ht="15" x14ac:dyDescent="0.25">
      <c r="A2595" s="231"/>
      <c r="B2595" s="227"/>
      <c r="C2595" s="226"/>
      <c r="D2595" s="229"/>
      <c r="E2595" s="230" t="s">
        <v>3311</v>
      </c>
      <c r="F2595" s="227"/>
      <c r="G2595" s="228"/>
      <c r="H2595" s="232"/>
      <c r="I2595" s="233"/>
      <c r="J2595" s="188"/>
      <c r="K2595" s="186"/>
      <c r="L2595" s="186"/>
      <c r="M2595" s="79"/>
      <c r="N2595" s="79"/>
      <c r="O2595" s="79"/>
      <c r="S2595" s="235"/>
      <c r="T2595" s="235"/>
      <c r="U2595" s="235"/>
      <c r="V2595" s="235"/>
    </row>
    <row r="2596" spans="1:22" s="63" customFormat="1" ht="15" x14ac:dyDescent="0.25">
      <c r="A2596" s="87">
        <v>20.51</v>
      </c>
      <c r="B2596" s="81" t="s">
        <v>76</v>
      </c>
      <c r="C2596" s="82">
        <v>29</v>
      </c>
      <c r="D2596" s="131" t="s">
        <v>2381</v>
      </c>
      <c r="E2596" s="83" t="s">
        <v>2382</v>
      </c>
      <c r="F2596" s="81" t="s">
        <v>219</v>
      </c>
      <c r="G2596" s="82">
        <v>1</v>
      </c>
      <c r="H2596" s="85"/>
      <c r="I2596" s="86">
        <v>1495.22</v>
      </c>
      <c r="J2596" s="185">
        <f>ROUND($I2596/$G2596*$N$11,2)</f>
        <v>1702.46</v>
      </c>
      <c r="K2596" s="189">
        <f>ROUND(G2596*J2596,2)</f>
        <v>1702.46</v>
      </c>
      <c r="L2596" s="189"/>
      <c r="M2596" s="138"/>
      <c r="N2596" s="138"/>
      <c r="O2596" s="138"/>
      <c r="S2596" s="72"/>
      <c r="T2596" s="72"/>
      <c r="U2596" s="72"/>
      <c r="V2596" s="72"/>
    </row>
    <row r="2597" spans="1:22" s="63" customFormat="1" ht="22.5" x14ac:dyDescent="0.25">
      <c r="A2597" s="101">
        <v>20.52</v>
      </c>
      <c r="B2597" s="102" t="s">
        <v>76</v>
      </c>
      <c r="C2597" s="103">
        <v>29.1</v>
      </c>
      <c r="D2597" s="167" t="s">
        <v>2383</v>
      </c>
      <c r="E2597" s="104" t="s">
        <v>4012</v>
      </c>
      <c r="F2597" s="102" t="s">
        <v>219</v>
      </c>
      <c r="G2597" s="105">
        <v>1</v>
      </c>
      <c r="H2597" s="106"/>
      <c r="I2597" s="107">
        <v>252072.54</v>
      </c>
      <c r="J2597" s="192">
        <f>ROUND($I2597/$G2597*$N$12,2)</f>
        <v>281943.14</v>
      </c>
      <c r="K2597" s="193">
        <f>ROUND(G2597*J2597,2)</f>
        <v>281943.14</v>
      </c>
      <c r="L2597" s="193"/>
      <c r="M2597" s="138"/>
      <c r="N2597" s="138"/>
      <c r="O2597" s="138"/>
      <c r="S2597" s="72"/>
      <c r="T2597" s="72"/>
      <c r="U2597" s="72"/>
      <c r="V2597" s="72"/>
    </row>
    <row r="2598" spans="1:22" s="63" customFormat="1" ht="15" x14ac:dyDescent="0.25">
      <c r="A2598" s="194">
        <v>21</v>
      </c>
      <c r="B2598" s="418" t="s">
        <v>2384</v>
      </c>
      <c r="C2598" s="418"/>
      <c r="D2598" s="418"/>
      <c r="E2598" s="195" t="s">
        <v>81</v>
      </c>
      <c r="F2598" s="196"/>
      <c r="G2598" s="194">
        <v>1</v>
      </c>
      <c r="H2598" s="197">
        <v>342391.84</v>
      </c>
      <c r="I2598" s="355">
        <f>SUM(I2600:I2619)</f>
        <v>342391.82999999996</v>
      </c>
      <c r="J2598" s="200"/>
      <c r="K2598" s="198">
        <f>SUM(K2600:K2619)</f>
        <v>389847.41000000003</v>
      </c>
      <c r="L2598" s="198"/>
      <c r="M2598" s="207"/>
      <c r="N2598" s="209"/>
      <c r="O2598" s="138"/>
      <c r="S2598" s="72"/>
      <c r="T2598" s="72"/>
      <c r="U2598" s="72"/>
      <c r="V2598" s="72"/>
    </row>
    <row r="2599" spans="1:22" s="280" customFormat="1" ht="15" x14ac:dyDescent="0.25">
      <c r="A2599" s="216"/>
      <c r="B2599" s="217"/>
      <c r="C2599" s="217"/>
      <c r="D2599" s="217"/>
      <c r="E2599" s="218" t="s">
        <v>3200</v>
      </c>
      <c r="F2599" s="219"/>
      <c r="G2599" s="216"/>
      <c r="H2599" s="220"/>
      <c r="I2599" s="221"/>
      <c r="J2599" s="260"/>
      <c r="K2599" s="221"/>
      <c r="L2599" s="221"/>
      <c r="M2599" s="282"/>
      <c r="N2599" s="283"/>
      <c r="O2599" s="274"/>
      <c r="S2599" s="281"/>
      <c r="T2599" s="281"/>
      <c r="U2599" s="281"/>
      <c r="V2599" s="281"/>
    </row>
    <row r="2600" spans="1:22" s="63" customFormat="1" ht="22.5" x14ac:dyDescent="0.25">
      <c r="A2600" s="80">
        <v>21.1</v>
      </c>
      <c r="B2600" s="81" t="s">
        <v>80</v>
      </c>
      <c r="C2600" s="82">
        <v>1</v>
      </c>
      <c r="D2600" s="131" t="s">
        <v>2385</v>
      </c>
      <c r="E2600" s="83" t="s">
        <v>2386</v>
      </c>
      <c r="F2600" s="81" t="s">
        <v>193</v>
      </c>
      <c r="G2600" s="89">
        <v>0.10775999999999999</v>
      </c>
      <c r="H2600" s="85"/>
      <c r="I2600" s="86">
        <v>12833.96</v>
      </c>
      <c r="J2600" s="185">
        <f t="shared" ref="J2600:J2608" si="246">ROUND($I2600/$G2600*$N$11,2)</f>
        <v>135604.56</v>
      </c>
      <c r="K2600" s="189">
        <f t="shared" ref="K2600:K2608" si="247">ROUND(G2600*J2600,2)</f>
        <v>14612.75</v>
      </c>
      <c r="L2600" s="189"/>
      <c r="M2600" s="138"/>
      <c r="N2600" s="138"/>
      <c r="O2600" s="138"/>
      <c r="S2600" s="72"/>
      <c r="T2600" s="72"/>
      <c r="U2600" s="72"/>
      <c r="V2600" s="72"/>
    </row>
    <row r="2601" spans="1:22" s="63" customFormat="1" ht="22.5" x14ac:dyDescent="0.25">
      <c r="A2601" s="80">
        <v>21.2</v>
      </c>
      <c r="B2601" s="81" t="s">
        <v>80</v>
      </c>
      <c r="C2601" s="82">
        <v>2</v>
      </c>
      <c r="D2601" s="131" t="s">
        <v>2387</v>
      </c>
      <c r="E2601" s="83" t="s">
        <v>2388</v>
      </c>
      <c r="F2601" s="81" t="s">
        <v>193</v>
      </c>
      <c r="G2601" s="89">
        <v>1.8720000000000001E-2</v>
      </c>
      <c r="H2601" s="85"/>
      <c r="I2601" s="86">
        <v>3164.89</v>
      </c>
      <c r="J2601" s="185">
        <f t="shared" si="246"/>
        <v>192497</v>
      </c>
      <c r="K2601" s="189">
        <f t="shared" si="247"/>
        <v>3603.54</v>
      </c>
      <c r="L2601" s="189"/>
      <c r="M2601" s="138"/>
      <c r="N2601" s="138"/>
      <c r="O2601" s="138"/>
      <c r="S2601" s="72"/>
      <c r="T2601" s="72"/>
      <c r="U2601" s="72"/>
      <c r="V2601" s="72"/>
    </row>
    <row r="2602" spans="1:22" s="63" customFormat="1" ht="22.5" x14ac:dyDescent="0.25">
      <c r="A2602" s="80">
        <v>21.3</v>
      </c>
      <c r="B2602" s="81" t="s">
        <v>80</v>
      </c>
      <c r="C2602" s="82">
        <v>3</v>
      </c>
      <c r="D2602" s="131" t="s">
        <v>2389</v>
      </c>
      <c r="E2602" s="83" t="s">
        <v>2390</v>
      </c>
      <c r="F2602" s="81" t="s">
        <v>196</v>
      </c>
      <c r="G2602" s="88">
        <v>8.8499999999999995E-2</v>
      </c>
      <c r="H2602" s="85"/>
      <c r="I2602" s="86">
        <v>25607.71</v>
      </c>
      <c r="J2602" s="185">
        <f t="shared" si="246"/>
        <v>329456.93</v>
      </c>
      <c r="K2602" s="189">
        <f t="shared" si="247"/>
        <v>29156.94</v>
      </c>
      <c r="L2602" s="189"/>
      <c r="M2602" s="138"/>
      <c r="N2602" s="138"/>
      <c r="O2602" s="138"/>
      <c r="S2602" s="72"/>
      <c r="T2602" s="72"/>
      <c r="U2602" s="72"/>
      <c r="V2602" s="72"/>
    </row>
    <row r="2603" spans="1:22" s="63" customFormat="1" ht="15" x14ac:dyDescent="0.25">
      <c r="A2603" s="80">
        <v>21.4</v>
      </c>
      <c r="B2603" s="81" t="s">
        <v>80</v>
      </c>
      <c r="C2603" s="82">
        <v>4</v>
      </c>
      <c r="D2603" s="131" t="s">
        <v>2340</v>
      </c>
      <c r="E2603" s="83" t="s">
        <v>2341</v>
      </c>
      <c r="F2603" s="81" t="s">
        <v>319</v>
      </c>
      <c r="G2603" s="84">
        <v>1.716</v>
      </c>
      <c r="H2603" s="85"/>
      <c r="I2603" s="86">
        <v>18588.07</v>
      </c>
      <c r="J2603" s="185">
        <f t="shared" si="246"/>
        <v>12333.55</v>
      </c>
      <c r="K2603" s="189">
        <f t="shared" si="247"/>
        <v>21164.37</v>
      </c>
      <c r="L2603" s="189"/>
      <c r="M2603" s="138"/>
      <c r="N2603" s="138"/>
      <c r="O2603" s="138"/>
      <c r="S2603" s="72"/>
      <c r="T2603" s="72"/>
      <c r="U2603" s="72"/>
      <c r="V2603" s="72"/>
    </row>
    <row r="2604" spans="1:22" s="63" customFormat="1" ht="22.5" x14ac:dyDescent="0.25">
      <c r="A2604" s="80">
        <v>21.5</v>
      </c>
      <c r="B2604" s="81" t="s">
        <v>80</v>
      </c>
      <c r="C2604" s="80">
        <v>4.0999999999999996</v>
      </c>
      <c r="D2604" s="131" t="s">
        <v>2372</v>
      </c>
      <c r="E2604" s="83" t="s">
        <v>2373</v>
      </c>
      <c r="F2604" s="81" t="s">
        <v>205</v>
      </c>
      <c r="G2604" s="84">
        <v>18.876000000000001</v>
      </c>
      <c r="H2604" s="85"/>
      <c r="I2604" s="86">
        <v>25055.63</v>
      </c>
      <c r="J2604" s="185">
        <f t="shared" si="246"/>
        <v>1511.36</v>
      </c>
      <c r="K2604" s="189">
        <f t="shared" si="247"/>
        <v>28528.43</v>
      </c>
      <c r="L2604" s="189"/>
      <c r="M2604" s="138"/>
      <c r="N2604" s="138"/>
      <c r="O2604" s="138"/>
      <c r="S2604" s="72"/>
      <c r="T2604" s="72"/>
      <c r="U2604" s="72"/>
      <c r="V2604" s="72"/>
    </row>
    <row r="2605" spans="1:22" s="63" customFormat="1" ht="22.5" x14ac:dyDescent="0.25">
      <c r="A2605" s="80">
        <v>21.6</v>
      </c>
      <c r="B2605" s="81" t="s">
        <v>80</v>
      </c>
      <c r="C2605" s="82">
        <v>5</v>
      </c>
      <c r="D2605" s="131" t="s">
        <v>2391</v>
      </c>
      <c r="E2605" s="83" t="s">
        <v>2392</v>
      </c>
      <c r="F2605" s="81" t="s">
        <v>193</v>
      </c>
      <c r="G2605" s="89">
        <v>9.8150000000000001E-2</v>
      </c>
      <c r="H2605" s="85"/>
      <c r="I2605" s="86">
        <v>1535.53</v>
      </c>
      <c r="J2605" s="185">
        <f t="shared" si="246"/>
        <v>17813.09</v>
      </c>
      <c r="K2605" s="189">
        <f t="shared" si="247"/>
        <v>1748.35</v>
      </c>
      <c r="L2605" s="189"/>
      <c r="M2605" s="138"/>
      <c r="N2605" s="138"/>
      <c r="O2605" s="138"/>
      <c r="S2605" s="72"/>
      <c r="T2605" s="72"/>
      <c r="U2605" s="72"/>
      <c r="V2605" s="72"/>
    </row>
    <row r="2606" spans="1:22" s="63" customFormat="1" ht="15" x14ac:dyDescent="0.25">
      <c r="A2606" s="80">
        <v>21.7</v>
      </c>
      <c r="B2606" s="81" t="s">
        <v>80</v>
      </c>
      <c r="C2606" s="82">
        <v>6</v>
      </c>
      <c r="D2606" s="131" t="s">
        <v>2393</v>
      </c>
      <c r="E2606" s="83" t="s">
        <v>2394</v>
      </c>
      <c r="F2606" s="81" t="s">
        <v>196</v>
      </c>
      <c r="G2606" s="88">
        <v>0.15690000000000001</v>
      </c>
      <c r="H2606" s="85"/>
      <c r="I2606" s="86">
        <v>13585.67</v>
      </c>
      <c r="J2606" s="185">
        <f t="shared" si="246"/>
        <v>98589.19</v>
      </c>
      <c r="K2606" s="189">
        <f t="shared" si="247"/>
        <v>15468.64</v>
      </c>
      <c r="L2606" s="189"/>
      <c r="M2606" s="138"/>
      <c r="N2606" s="138"/>
      <c r="O2606" s="138"/>
      <c r="S2606" s="72"/>
      <c r="T2606" s="72"/>
      <c r="U2606" s="72"/>
      <c r="V2606" s="72"/>
    </row>
    <row r="2607" spans="1:22" s="63" customFormat="1" ht="22.5" x14ac:dyDescent="0.25">
      <c r="A2607" s="80">
        <v>21.8</v>
      </c>
      <c r="B2607" s="81" t="s">
        <v>80</v>
      </c>
      <c r="C2607" s="82">
        <v>7</v>
      </c>
      <c r="D2607" s="131" t="s">
        <v>2395</v>
      </c>
      <c r="E2607" s="83" t="s">
        <v>2396</v>
      </c>
      <c r="F2607" s="81" t="s">
        <v>2321</v>
      </c>
      <c r="G2607" s="84">
        <v>41.924999999999997</v>
      </c>
      <c r="H2607" s="85"/>
      <c r="I2607" s="86">
        <v>6588.34</v>
      </c>
      <c r="J2607" s="185">
        <f t="shared" si="246"/>
        <v>178.93</v>
      </c>
      <c r="K2607" s="189">
        <f t="shared" si="247"/>
        <v>7501.64</v>
      </c>
      <c r="L2607" s="189"/>
      <c r="M2607" s="138"/>
      <c r="N2607" s="138"/>
      <c r="O2607" s="138"/>
      <c r="S2607" s="72"/>
      <c r="T2607" s="72"/>
      <c r="U2607" s="72"/>
      <c r="V2607" s="72"/>
    </row>
    <row r="2608" spans="1:22" s="63" customFormat="1" ht="15" x14ac:dyDescent="0.25">
      <c r="A2608" s="80">
        <v>21.9</v>
      </c>
      <c r="B2608" s="81" t="s">
        <v>80</v>
      </c>
      <c r="C2608" s="82">
        <v>8</v>
      </c>
      <c r="D2608" s="131" t="s">
        <v>2348</v>
      </c>
      <c r="E2608" s="83" t="s">
        <v>2349</v>
      </c>
      <c r="F2608" s="81" t="s">
        <v>2350</v>
      </c>
      <c r="G2608" s="84">
        <v>0.19700000000000001</v>
      </c>
      <c r="H2608" s="85"/>
      <c r="I2608" s="86">
        <v>69034.19</v>
      </c>
      <c r="J2608" s="185">
        <f t="shared" si="246"/>
        <v>398996.59</v>
      </c>
      <c r="K2608" s="189">
        <f t="shared" si="247"/>
        <v>78602.33</v>
      </c>
      <c r="L2608" s="189"/>
      <c r="M2608" s="138"/>
      <c r="N2608" s="138"/>
      <c r="O2608" s="138"/>
      <c r="S2608" s="72"/>
      <c r="T2608" s="72"/>
      <c r="U2608" s="72"/>
      <c r="V2608" s="72"/>
    </row>
    <row r="2609" spans="1:22" s="128" customFormat="1" ht="12.75" x14ac:dyDescent="0.25">
      <c r="A2609" s="236"/>
      <c r="B2609" s="125"/>
      <c r="C2609" s="76"/>
      <c r="D2609" s="77"/>
      <c r="E2609" s="126" t="s">
        <v>3360</v>
      </c>
      <c r="F2609" s="125"/>
      <c r="G2609" s="242"/>
      <c r="H2609" s="127"/>
      <c r="I2609" s="78"/>
      <c r="J2609" s="238"/>
      <c r="K2609" s="239"/>
      <c r="L2609" s="239"/>
      <c r="M2609" s="79"/>
      <c r="N2609" s="79"/>
      <c r="O2609" s="79"/>
      <c r="S2609" s="129"/>
      <c r="T2609" s="129"/>
      <c r="U2609" s="129"/>
      <c r="V2609" s="129"/>
    </row>
    <row r="2610" spans="1:22" s="63" customFormat="1" ht="22.5" x14ac:dyDescent="0.25">
      <c r="A2610" s="87">
        <v>21.1</v>
      </c>
      <c r="B2610" s="81" t="s">
        <v>80</v>
      </c>
      <c r="C2610" s="82">
        <v>9</v>
      </c>
      <c r="D2610" s="131" t="s">
        <v>1052</v>
      </c>
      <c r="E2610" s="83" t="s">
        <v>1053</v>
      </c>
      <c r="F2610" s="81" t="s">
        <v>354</v>
      </c>
      <c r="G2610" s="87">
        <v>0.45</v>
      </c>
      <c r="H2610" s="85"/>
      <c r="I2610" s="86">
        <v>9974.68</v>
      </c>
      <c r="J2610" s="185">
        <f t="shared" ref="J2610:J2619" si="248">ROUND($I2610/$G2610*$N$11,2)</f>
        <v>25238.16</v>
      </c>
      <c r="K2610" s="189">
        <f t="shared" ref="K2610:K2619" si="249">ROUND(G2610*J2610,2)</f>
        <v>11357.17</v>
      </c>
      <c r="L2610" s="189"/>
      <c r="M2610" s="138"/>
      <c r="N2610" s="138"/>
      <c r="O2610" s="138"/>
      <c r="S2610" s="72"/>
      <c r="T2610" s="72"/>
      <c r="U2610" s="72"/>
      <c r="V2610" s="72"/>
    </row>
    <row r="2611" spans="1:22" s="63" customFormat="1" ht="22.5" x14ac:dyDescent="0.25">
      <c r="A2611" s="87">
        <v>21.11</v>
      </c>
      <c r="B2611" s="81" t="s">
        <v>80</v>
      </c>
      <c r="C2611" s="80">
        <v>9.1</v>
      </c>
      <c r="D2611" s="131" t="s">
        <v>2397</v>
      </c>
      <c r="E2611" s="83" t="s">
        <v>3560</v>
      </c>
      <c r="F2611" s="81" t="s">
        <v>334</v>
      </c>
      <c r="G2611" s="80">
        <v>45.9</v>
      </c>
      <c r="H2611" s="85"/>
      <c r="I2611" s="86">
        <v>1527.63</v>
      </c>
      <c r="J2611" s="185">
        <f t="shared" si="248"/>
        <v>37.89</v>
      </c>
      <c r="K2611" s="189">
        <f t="shared" si="249"/>
        <v>1739.15</v>
      </c>
      <c r="L2611" s="189"/>
      <c r="M2611" s="138"/>
      <c r="N2611" s="138"/>
      <c r="O2611" s="138"/>
      <c r="S2611" s="72"/>
      <c r="T2611" s="72"/>
      <c r="U2611" s="72"/>
      <c r="V2611" s="72"/>
    </row>
    <row r="2612" spans="1:22" s="63" customFormat="1" ht="15" x14ac:dyDescent="0.25">
      <c r="A2612" s="87">
        <v>21.12</v>
      </c>
      <c r="B2612" s="81" t="s">
        <v>80</v>
      </c>
      <c r="C2612" s="82">
        <v>10</v>
      </c>
      <c r="D2612" s="131" t="s">
        <v>2398</v>
      </c>
      <c r="E2612" s="83" t="s">
        <v>2399</v>
      </c>
      <c r="F2612" s="81" t="s">
        <v>2350</v>
      </c>
      <c r="G2612" s="84">
        <v>0.157</v>
      </c>
      <c r="H2612" s="85"/>
      <c r="I2612" s="86">
        <v>2896.72</v>
      </c>
      <c r="J2612" s="185">
        <f t="shared" si="248"/>
        <v>21007.68</v>
      </c>
      <c r="K2612" s="189">
        <f t="shared" si="249"/>
        <v>3298.21</v>
      </c>
      <c r="L2612" s="189"/>
      <c r="M2612" s="138"/>
      <c r="N2612" s="138"/>
      <c r="O2612" s="138"/>
      <c r="S2612" s="72"/>
      <c r="T2612" s="72"/>
      <c r="U2612" s="72"/>
      <c r="V2612" s="72"/>
    </row>
    <row r="2613" spans="1:22" s="63" customFormat="1" ht="22.5" x14ac:dyDescent="0.25">
      <c r="A2613" s="87">
        <v>21.13</v>
      </c>
      <c r="B2613" s="81" t="s">
        <v>80</v>
      </c>
      <c r="C2613" s="80">
        <v>10.1</v>
      </c>
      <c r="D2613" s="131" t="s">
        <v>2400</v>
      </c>
      <c r="E2613" s="83" t="s">
        <v>2401</v>
      </c>
      <c r="F2613" s="81" t="s">
        <v>219</v>
      </c>
      <c r="G2613" s="87">
        <v>1.57</v>
      </c>
      <c r="H2613" s="85"/>
      <c r="I2613" s="86">
        <v>5255.18</v>
      </c>
      <c r="J2613" s="185">
        <f t="shared" si="248"/>
        <v>3811.18</v>
      </c>
      <c r="K2613" s="189">
        <f t="shared" si="249"/>
        <v>5983.55</v>
      </c>
      <c r="L2613" s="189"/>
      <c r="M2613" s="138"/>
      <c r="N2613" s="138"/>
      <c r="O2613" s="138"/>
      <c r="S2613" s="72"/>
      <c r="T2613" s="72"/>
      <c r="U2613" s="72"/>
      <c r="V2613" s="72"/>
    </row>
    <row r="2614" spans="1:22" s="63" customFormat="1" ht="22.5" x14ac:dyDescent="0.25">
      <c r="A2614" s="87">
        <v>21.14</v>
      </c>
      <c r="B2614" s="81" t="s">
        <v>80</v>
      </c>
      <c r="C2614" s="82">
        <v>11</v>
      </c>
      <c r="D2614" s="131" t="s">
        <v>2402</v>
      </c>
      <c r="E2614" s="83" t="s">
        <v>2403</v>
      </c>
      <c r="F2614" s="81" t="s">
        <v>219</v>
      </c>
      <c r="G2614" s="82">
        <v>5</v>
      </c>
      <c r="H2614" s="85"/>
      <c r="I2614" s="86">
        <v>78081.22</v>
      </c>
      <c r="J2614" s="185">
        <f t="shared" si="248"/>
        <v>17780.66</v>
      </c>
      <c r="K2614" s="189">
        <f t="shared" si="249"/>
        <v>88903.3</v>
      </c>
      <c r="L2614" s="189"/>
      <c r="M2614" s="138"/>
      <c r="N2614" s="138"/>
      <c r="O2614" s="138"/>
      <c r="S2614" s="72"/>
      <c r="T2614" s="72"/>
      <c r="U2614" s="72"/>
      <c r="V2614" s="72"/>
    </row>
    <row r="2615" spans="1:22" s="63" customFormat="1" ht="22.5" x14ac:dyDescent="0.25">
      <c r="A2615" s="87">
        <v>21.15</v>
      </c>
      <c r="B2615" s="81" t="s">
        <v>80</v>
      </c>
      <c r="C2615" s="80">
        <v>11.1</v>
      </c>
      <c r="D2615" s="131" t="s">
        <v>2404</v>
      </c>
      <c r="E2615" s="83" t="s">
        <v>2405</v>
      </c>
      <c r="F2615" s="81" t="s">
        <v>205</v>
      </c>
      <c r="G2615" s="82">
        <v>3</v>
      </c>
      <c r="H2615" s="85"/>
      <c r="I2615" s="86">
        <v>33900.730000000003</v>
      </c>
      <c r="J2615" s="185">
        <f t="shared" si="248"/>
        <v>12866.46</v>
      </c>
      <c r="K2615" s="189">
        <f t="shared" si="249"/>
        <v>38599.379999999997</v>
      </c>
      <c r="L2615" s="189"/>
      <c r="M2615" s="138"/>
      <c r="N2615" s="138"/>
      <c r="O2615" s="138"/>
      <c r="S2615" s="72"/>
      <c r="T2615" s="72"/>
      <c r="U2615" s="72"/>
      <c r="V2615" s="72"/>
    </row>
    <row r="2616" spans="1:22" s="63" customFormat="1" ht="22.5" x14ac:dyDescent="0.25">
      <c r="A2616" s="87">
        <v>21.16</v>
      </c>
      <c r="B2616" s="81" t="s">
        <v>80</v>
      </c>
      <c r="C2616" s="80">
        <v>11.2</v>
      </c>
      <c r="D2616" s="131" t="s">
        <v>2406</v>
      </c>
      <c r="E2616" s="83" t="s">
        <v>2407</v>
      </c>
      <c r="F2616" s="81" t="s">
        <v>205</v>
      </c>
      <c r="G2616" s="84">
        <v>0.22500000000000001</v>
      </c>
      <c r="H2616" s="85"/>
      <c r="I2616" s="86">
        <v>2347.0700000000002</v>
      </c>
      <c r="J2616" s="185">
        <f t="shared" si="248"/>
        <v>11877.22</v>
      </c>
      <c r="K2616" s="189">
        <f t="shared" si="249"/>
        <v>2672.37</v>
      </c>
      <c r="L2616" s="189"/>
      <c r="M2616" s="138"/>
      <c r="N2616" s="138"/>
      <c r="O2616" s="138"/>
      <c r="S2616" s="72"/>
      <c r="T2616" s="72"/>
      <c r="U2616" s="72"/>
      <c r="V2616" s="72"/>
    </row>
    <row r="2617" spans="1:22" s="63" customFormat="1" ht="22.5" x14ac:dyDescent="0.25">
      <c r="A2617" s="87">
        <v>21.17</v>
      </c>
      <c r="B2617" s="81" t="s">
        <v>80</v>
      </c>
      <c r="C2617" s="80">
        <v>11.3</v>
      </c>
      <c r="D2617" s="131" t="s">
        <v>2408</v>
      </c>
      <c r="E2617" s="83" t="s">
        <v>4013</v>
      </c>
      <c r="F2617" s="81" t="s">
        <v>219</v>
      </c>
      <c r="G2617" s="82">
        <v>5</v>
      </c>
      <c r="H2617" s="85"/>
      <c r="I2617" s="86">
        <v>19784.64</v>
      </c>
      <c r="J2617" s="185">
        <f t="shared" si="248"/>
        <v>4505.3599999999997</v>
      </c>
      <c r="K2617" s="189">
        <f t="shared" si="249"/>
        <v>22526.799999999999</v>
      </c>
      <c r="L2617" s="189"/>
      <c r="M2617" s="138"/>
      <c r="N2617" s="138"/>
      <c r="O2617" s="138"/>
      <c r="S2617" s="72"/>
      <c r="T2617" s="72"/>
      <c r="U2617" s="72"/>
      <c r="V2617" s="72"/>
    </row>
    <row r="2618" spans="1:22" s="63" customFormat="1" ht="15" x14ac:dyDescent="0.25">
      <c r="A2618" s="87">
        <v>21.18</v>
      </c>
      <c r="B2618" s="81" t="s">
        <v>80</v>
      </c>
      <c r="C2618" s="82">
        <v>12</v>
      </c>
      <c r="D2618" s="131" t="s">
        <v>2409</v>
      </c>
      <c r="E2618" s="83" t="s">
        <v>2410</v>
      </c>
      <c r="F2618" s="81" t="s">
        <v>2411</v>
      </c>
      <c r="G2618" s="80">
        <v>1.4</v>
      </c>
      <c r="H2618" s="85"/>
      <c r="I2618" s="86">
        <v>11118.22</v>
      </c>
      <c r="J2618" s="185">
        <f t="shared" si="248"/>
        <v>9042.2900000000009</v>
      </c>
      <c r="K2618" s="189">
        <f t="shared" si="249"/>
        <v>12659.21</v>
      </c>
      <c r="L2618" s="189"/>
      <c r="M2618" s="138"/>
      <c r="N2618" s="138"/>
      <c r="O2618" s="138"/>
      <c r="S2618" s="72"/>
      <c r="T2618" s="72"/>
      <c r="U2618" s="72"/>
      <c r="V2618" s="72"/>
    </row>
    <row r="2619" spans="1:22" s="63" customFormat="1" ht="22.5" x14ac:dyDescent="0.25">
      <c r="A2619" s="87">
        <v>21.19</v>
      </c>
      <c r="B2619" s="81" t="s">
        <v>80</v>
      </c>
      <c r="C2619" s="82">
        <v>13</v>
      </c>
      <c r="D2619" s="131" t="s">
        <v>2412</v>
      </c>
      <c r="E2619" s="83" t="s">
        <v>2413</v>
      </c>
      <c r="F2619" s="81" t="s">
        <v>2414</v>
      </c>
      <c r="G2619" s="82">
        <v>1</v>
      </c>
      <c r="H2619" s="85"/>
      <c r="I2619" s="86">
        <f>1511.76-0.01</f>
        <v>1511.75</v>
      </c>
      <c r="J2619" s="185">
        <f t="shared" si="248"/>
        <v>1721.28</v>
      </c>
      <c r="K2619" s="189">
        <f t="shared" si="249"/>
        <v>1721.28</v>
      </c>
      <c r="L2619" s="189"/>
      <c r="M2619" s="138"/>
      <c r="N2619" s="138"/>
      <c r="O2619" s="138"/>
      <c r="S2619" s="72"/>
      <c r="T2619" s="72"/>
      <c r="U2619" s="72"/>
      <c r="V2619" s="72"/>
    </row>
    <row r="2620" spans="1:22" s="63" customFormat="1" ht="15" x14ac:dyDescent="0.25">
      <c r="A2620" s="194">
        <v>22</v>
      </c>
      <c r="B2620" s="418" t="s">
        <v>2415</v>
      </c>
      <c r="C2620" s="418"/>
      <c r="D2620" s="418"/>
      <c r="E2620" s="195" t="s">
        <v>89</v>
      </c>
      <c r="F2620" s="196"/>
      <c r="G2620" s="194">
        <v>1</v>
      </c>
      <c r="H2620" s="197">
        <v>1432513.43</v>
      </c>
      <c r="I2620" s="355">
        <f>SUM(I2624:I2744)</f>
        <v>1432513.3900000001</v>
      </c>
      <c r="J2620" s="200"/>
      <c r="K2620" s="198">
        <f>SUM(K2624:K2744)</f>
        <v>1611286.5099999998</v>
      </c>
      <c r="L2620" s="198"/>
      <c r="M2620" s="207"/>
      <c r="N2620" s="209"/>
      <c r="O2620" s="138"/>
      <c r="S2620" s="72"/>
      <c r="T2620" s="72"/>
      <c r="U2620" s="72"/>
      <c r="V2620" s="72"/>
    </row>
    <row r="2621" spans="1:22" s="63" customFormat="1" ht="15" x14ac:dyDescent="0.25">
      <c r="A2621" s="91"/>
      <c r="B2621" s="92"/>
      <c r="C2621" s="92"/>
      <c r="D2621" s="166"/>
      <c r="E2621" s="93" t="s">
        <v>651</v>
      </c>
      <c r="F2621" s="94"/>
      <c r="G2621" s="91"/>
      <c r="H2621" s="95"/>
      <c r="I2621" s="96">
        <f>I2678+I2712</f>
        <v>983742.02</v>
      </c>
      <c r="J2621" s="191"/>
      <c r="K2621" s="96">
        <f>K2678+K2712</f>
        <v>1100315.45</v>
      </c>
      <c r="L2621" s="96"/>
      <c r="M2621" s="207"/>
      <c r="N2621" s="209"/>
      <c r="O2621" s="138"/>
      <c r="S2621" s="72"/>
      <c r="T2621" s="72"/>
      <c r="U2621" s="72"/>
      <c r="V2621" s="72"/>
    </row>
    <row r="2622" spans="1:22" s="278" customFormat="1" ht="15" x14ac:dyDescent="0.25">
      <c r="A2622" s="216"/>
      <c r="B2622" s="217"/>
      <c r="C2622" s="217"/>
      <c r="D2622" s="248"/>
      <c r="E2622" s="218" t="s">
        <v>3361</v>
      </c>
      <c r="F2622" s="219"/>
      <c r="G2622" s="216"/>
      <c r="H2622" s="220"/>
      <c r="I2622" s="221"/>
      <c r="J2622" s="244"/>
      <c r="K2622" s="221"/>
      <c r="L2622" s="221"/>
      <c r="M2622" s="222"/>
      <c r="N2622" s="223"/>
      <c r="O2622" s="245"/>
      <c r="S2622" s="225"/>
      <c r="T2622" s="225"/>
      <c r="U2622" s="225"/>
      <c r="V2622" s="225"/>
    </row>
    <row r="2623" spans="1:22" s="278" customFormat="1" ht="15" x14ac:dyDescent="0.25">
      <c r="A2623" s="216"/>
      <c r="B2623" s="217"/>
      <c r="C2623" s="217"/>
      <c r="D2623" s="248"/>
      <c r="E2623" s="218" t="s">
        <v>3200</v>
      </c>
      <c r="F2623" s="219"/>
      <c r="G2623" s="216"/>
      <c r="H2623" s="220"/>
      <c r="I2623" s="221"/>
      <c r="J2623" s="244"/>
      <c r="K2623" s="221"/>
      <c r="L2623" s="221"/>
      <c r="M2623" s="222"/>
      <c r="N2623" s="223"/>
      <c r="O2623" s="245"/>
      <c r="S2623" s="225"/>
      <c r="T2623" s="225"/>
      <c r="U2623" s="225"/>
      <c r="V2623" s="225"/>
    </row>
    <row r="2624" spans="1:22" s="63" customFormat="1" ht="22.5" x14ac:dyDescent="0.25">
      <c r="A2624" s="80">
        <v>22.1</v>
      </c>
      <c r="B2624" s="81" t="s">
        <v>84</v>
      </c>
      <c r="C2624" s="82">
        <v>1</v>
      </c>
      <c r="D2624" s="131" t="s">
        <v>2416</v>
      </c>
      <c r="E2624" s="83" t="s">
        <v>2417</v>
      </c>
      <c r="F2624" s="81" t="s">
        <v>193</v>
      </c>
      <c r="G2624" s="90">
        <v>2.3591999999999998E-2</v>
      </c>
      <c r="H2624" s="85"/>
      <c r="I2624" s="86">
        <f>1486.18-0.04</f>
        <v>1486.14</v>
      </c>
      <c r="J2624" s="185">
        <f t="shared" ref="J2624:J2629" si="250">ROUND($I2624/$G2624*$N$11,2)</f>
        <v>71724.27</v>
      </c>
      <c r="K2624" s="189">
        <f t="shared" ref="K2624:K2629" si="251">ROUND(G2624*J2624,2)</f>
        <v>1692.12</v>
      </c>
      <c r="L2624" s="189"/>
      <c r="M2624" s="138"/>
      <c r="N2624" s="138"/>
      <c r="O2624" s="138"/>
      <c r="S2624" s="72"/>
      <c r="T2624" s="72"/>
      <c r="U2624" s="72"/>
      <c r="V2624" s="72"/>
    </row>
    <row r="2625" spans="1:22" s="63" customFormat="1" ht="22.5" x14ac:dyDescent="0.25">
      <c r="A2625" s="80">
        <v>22.2</v>
      </c>
      <c r="B2625" s="81" t="s">
        <v>84</v>
      </c>
      <c r="C2625" s="82">
        <v>2</v>
      </c>
      <c r="D2625" s="131" t="s">
        <v>2418</v>
      </c>
      <c r="E2625" s="83" t="s">
        <v>2419</v>
      </c>
      <c r="F2625" s="81" t="s">
        <v>196</v>
      </c>
      <c r="G2625" s="88">
        <v>1.01E-2</v>
      </c>
      <c r="H2625" s="85"/>
      <c r="I2625" s="86">
        <v>1064.8499999999999</v>
      </c>
      <c r="J2625" s="185">
        <f t="shared" si="250"/>
        <v>120043.39</v>
      </c>
      <c r="K2625" s="189">
        <f t="shared" si="251"/>
        <v>1212.44</v>
      </c>
      <c r="L2625" s="189"/>
      <c r="M2625" s="138"/>
      <c r="N2625" s="138"/>
      <c r="O2625" s="138"/>
      <c r="S2625" s="72"/>
      <c r="T2625" s="72"/>
      <c r="U2625" s="72"/>
      <c r="V2625" s="72"/>
    </row>
    <row r="2626" spans="1:22" s="63" customFormat="1" ht="33.75" x14ac:dyDescent="0.25">
      <c r="A2626" s="80">
        <v>22.3</v>
      </c>
      <c r="B2626" s="81" t="s">
        <v>84</v>
      </c>
      <c r="C2626" s="82">
        <v>3</v>
      </c>
      <c r="D2626" s="131" t="s">
        <v>2420</v>
      </c>
      <c r="E2626" s="83" t="s">
        <v>2421</v>
      </c>
      <c r="F2626" s="81" t="s">
        <v>193</v>
      </c>
      <c r="G2626" s="88">
        <v>8.3999999999999995E-3</v>
      </c>
      <c r="H2626" s="85"/>
      <c r="I2626" s="86">
        <v>609.32000000000005</v>
      </c>
      <c r="J2626" s="185">
        <f t="shared" si="250"/>
        <v>82591.88</v>
      </c>
      <c r="K2626" s="189">
        <f t="shared" si="251"/>
        <v>693.77</v>
      </c>
      <c r="L2626" s="189"/>
      <c r="M2626" s="138"/>
      <c r="N2626" s="138"/>
      <c r="O2626" s="138"/>
      <c r="S2626" s="72"/>
      <c r="T2626" s="72"/>
      <c r="U2626" s="72"/>
      <c r="V2626" s="72"/>
    </row>
    <row r="2627" spans="1:22" s="63" customFormat="1" ht="22.5" x14ac:dyDescent="0.25">
      <c r="A2627" s="80">
        <v>22.4</v>
      </c>
      <c r="B2627" s="81" t="s">
        <v>84</v>
      </c>
      <c r="C2627" s="82">
        <v>4</v>
      </c>
      <c r="D2627" s="131" t="s">
        <v>2422</v>
      </c>
      <c r="E2627" s="83" t="s">
        <v>2423</v>
      </c>
      <c r="F2627" s="81" t="s">
        <v>2321</v>
      </c>
      <c r="G2627" s="80">
        <v>14.7</v>
      </c>
      <c r="H2627" s="85"/>
      <c r="I2627" s="86">
        <v>589.47</v>
      </c>
      <c r="J2627" s="185">
        <f t="shared" si="250"/>
        <v>45.66</v>
      </c>
      <c r="K2627" s="189">
        <f t="shared" si="251"/>
        <v>671.2</v>
      </c>
      <c r="L2627" s="189"/>
      <c r="M2627" s="138"/>
      <c r="N2627" s="138"/>
      <c r="O2627" s="138"/>
      <c r="S2627" s="72"/>
      <c r="T2627" s="72"/>
      <c r="U2627" s="72"/>
      <c r="V2627" s="72"/>
    </row>
    <row r="2628" spans="1:22" s="63" customFormat="1" ht="22.5" x14ac:dyDescent="0.25">
      <c r="A2628" s="80">
        <v>22.5</v>
      </c>
      <c r="B2628" s="81" t="s">
        <v>84</v>
      </c>
      <c r="C2628" s="82">
        <v>5</v>
      </c>
      <c r="D2628" s="131" t="s">
        <v>2424</v>
      </c>
      <c r="E2628" s="83" t="s">
        <v>2425</v>
      </c>
      <c r="F2628" s="81" t="s">
        <v>193</v>
      </c>
      <c r="G2628" s="88">
        <v>2.52E-2</v>
      </c>
      <c r="H2628" s="85"/>
      <c r="I2628" s="86">
        <v>289.23</v>
      </c>
      <c r="J2628" s="185">
        <f t="shared" si="250"/>
        <v>13068.15</v>
      </c>
      <c r="K2628" s="189">
        <f t="shared" si="251"/>
        <v>329.32</v>
      </c>
      <c r="L2628" s="189"/>
      <c r="M2628" s="138"/>
      <c r="N2628" s="138"/>
      <c r="O2628" s="138"/>
      <c r="S2628" s="72"/>
      <c r="T2628" s="72"/>
      <c r="U2628" s="72"/>
      <c r="V2628" s="72"/>
    </row>
    <row r="2629" spans="1:22" s="63" customFormat="1" ht="15" x14ac:dyDescent="0.25">
      <c r="A2629" s="80">
        <v>22.6</v>
      </c>
      <c r="B2629" s="81" t="s">
        <v>84</v>
      </c>
      <c r="C2629" s="82">
        <v>6</v>
      </c>
      <c r="D2629" s="131" t="s">
        <v>201</v>
      </c>
      <c r="E2629" s="83" t="s">
        <v>202</v>
      </c>
      <c r="F2629" s="81" t="s">
        <v>196</v>
      </c>
      <c r="G2629" s="84">
        <v>0.252</v>
      </c>
      <c r="H2629" s="85"/>
      <c r="I2629" s="86">
        <v>4115.38</v>
      </c>
      <c r="J2629" s="185">
        <f t="shared" si="250"/>
        <v>18594.330000000002</v>
      </c>
      <c r="K2629" s="189">
        <f t="shared" si="251"/>
        <v>4685.7700000000004</v>
      </c>
      <c r="L2629" s="189"/>
      <c r="M2629" s="138"/>
      <c r="N2629" s="138"/>
      <c r="O2629" s="138"/>
      <c r="S2629" s="72"/>
      <c r="T2629" s="72"/>
      <c r="U2629" s="72"/>
      <c r="V2629" s="72"/>
    </row>
    <row r="2630" spans="1:22" s="128" customFormat="1" ht="12.75" x14ac:dyDescent="0.25">
      <c r="A2630" s="236"/>
      <c r="B2630" s="125"/>
      <c r="C2630" s="76"/>
      <c r="D2630" s="77"/>
      <c r="E2630" s="126" t="s">
        <v>3362</v>
      </c>
      <c r="F2630" s="125"/>
      <c r="G2630" s="242"/>
      <c r="H2630" s="127"/>
      <c r="I2630" s="78"/>
      <c r="J2630" s="238"/>
      <c r="K2630" s="239"/>
      <c r="L2630" s="239"/>
      <c r="M2630" s="79"/>
      <c r="N2630" s="79"/>
      <c r="O2630" s="79"/>
      <c r="S2630" s="129"/>
      <c r="T2630" s="129"/>
      <c r="U2630" s="129"/>
      <c r="V2630" s="129"/>
    </row>
    <row r="2631" spans="1:22" s="63" customFormat="1" ht="15" x14ac:dyDescent="0.25">
      <c r="A2631" s="80">
        <v>22.7</v>
      </c>
      <c r="B2631" s="81" t="s">
        <v>84</v>
      </c>
      <c r="C2631" s="82">
        <v>7</v>
      </c>
      <c r="D2631" s="131" t="s">
        <v>2340</v>
      </c>
      <c r="E2631" s="83" t="s">
        <v>2341</v>
      </c>
      <c r="F2631" s="81" t="s">
        <v>319</v>
      </c>
      <c r="G2631" s="87">
        <v>0.28000000000000003</v>
      </c>
      <c r="H2631" s="85"/>
      <c r="I2631" s="86">
        <v>3033.46</v>
      </c>
      <c r="J2631" s="185">
        <f>ROUND($I2631/$G2631*$N$11,2)</f>
        <v>12335.35</v>
      </c>
      <c r="K2631" s="189">
        <f>ROUND(G2631*J2631,2)</f>
        <v>3453.9</v>
      </c>
      <c r="L2631" s="189"/>
      <c r="M2631" s="138"/>
      <c r="N2631" s="138"/>
      <c r="O2631" s="138"/>
      <c r="S2631" s="72"/>
      <c r="T2631" s="72"/>
      <c r="U2631" s="72"/>
      <c r="V2631" s="72"/>
    </row>
    <row r="2632" spans="1:22" s="63" customFormat="1" ht="22.5" x14ac:dyDescent="0.25">
      <c r="A2632" s="80">
        <v>22.8</v>
      </c>
      <c r="B2632" s="81" t="s">
        <v>84</v>
      </c>
      <c r="C2632" s="80">
        <v>7.1</v>
      </c>
      <c r="D2632" s="131" t="s">
        <v>2426</v>
      </c>
      <c r="E2632" s="83" t="s">
        <v>2427</v>
      </c>
      <c r="F2632" s="81" t="s">
        <v>205</v>
      </c>
      <c r="G2632" s="87">
        <v>3.08</v>
      </c>
      <c r="H2632" s="85"/>
      <c r="I2632" s="86">
        <v>967.39</v>
      </c>
      <c r="J2632" s="185">
        <f>ROUND($I2632/$G2632*$N$11,2)</f>
        <v>357.62</v>
      </c>
      <c r="K2632" s="189">
        <f>ROUND(G2632*J2632,2)</f>
        <v>1101.47</v>
      </c>
      <c r="L2632" s="189"/>
      <c r="M2632" s="138"/>
      <c r="N2632" s="138"/>
      <c r="O2632" s="138"/>
      <c r="S2632" s="72"/>
      <c r="T2632" s="72"/>
      <c r="U2632" s="72"/>
      <c r="V2632" s="72"/>
    </row>
    <row r="2633" spans="1:22" s="63" customFormat="1" ht="15" x14ac:dyDescent="0.25">
      <c r="A2633" s="80">
        <v>22.9</v>
      </c>
      <c r="B2633" s="81" t="s">
        <v>84</v>
      </c>
      <c r="C2633" s="82">
        <v>8</v>
      </c>
      <c r="D2633" s="131" t="s">
        <v>199</v>
      </c>
      <c r="E2633" s="83" t="s">
        <v>200</v>
      </c>
      <c r="F2633" s="81" t="s">
        <v>196</v>
      </c>
      <c r="G2633" s="84">
        <v>5.6000000000000001E-2</v>
      </c>
      <c r="H2633" s="85"/>
      <c r="I2633" s="86">
        <v>3895.19</v>
      </c>
      <c r="J2633" s="185">
        <f>ROUND($I2633/$G2633*$N$11,2)</f>
        <v>79197.56</v>
      </c>
      <c r="K2633" s="189">
        <f>ROUND(G2633*J2633,2)</f>
        <v>4435.0600000000004</v>
      </c>
      <c r="L2633" s="189"/>
      <c r="M2633" s="138"/>
      <c r="N2633" s="138"/>
      <c r="O2633" s="138"/>
      <c r="S2633" s="72"/>
      <c r="T2633" s="72"/>
      <c r="U2633" s="72"/>
      <c r="V2633" s="72"/>
    </row>
    <row r="2634" spans="1:22" s="63" customFormat="1" ht="22.5" x14ac:dyDescent="0.25">
      <c r="A2634" s="87">
        <v>22.1</v>
      </c>
      <c r="B2634" s="81" t="s">
        <v>84</v>
      </c>
      <c r="C2634" s="80">
        <v>8.1</v>
      </c>
      <c r="D2634" s="131" t="s">
        <v>2426</v>
      </c>
      <c r="E2634" s="83" t="s">
        <v>2427</v>
      </c>
      <c r="F2634" s="81" t="s">
        <v>205</v>
      </c>
      <c r="G2634" s="80">
        <v>5.6</v>
      </c>
      <c r="H2634" s="85"/>
      <c r="I2634" s="86">
        <v>1758.86</v>
      </c>
      <c r="J2634" s="185">
        <f>ROUND($I2634/$G2634*$N$11,2)</f>
        <v>357.61</v>
      </c>
      <c r="K2634" s="189">
        <f>ROUND(G2634*J2634,2)</f>
        <v>2002.62</v>
      </c>
      <c r="L2634" s="189"/>
      <c r="M2634" s="138"/>
      <c r="N2634" s="138"/>
      <c r="O2634" s="138"/>
      <c r="S2634" s="72"/>
      <c r="T2634" s="72"/>
      <c r="U2634" s="72"/>
      <c r="V2634" s="72"/>
    </row>
    <row r="2635" spans="1:22" s="63" customFormat="1" ht="22.5" x14ac:dyDescent="0.25">
      <c r="A2635" s="87">
        <v>22.11</v>
      </c>
      <c r="B2635" s="81" t="s">
        <v>84</v>
      </c>
      <c r="C2635" s="82">
        <v>9</v>
      </c>
      <c r="D2635" s="131" t="s">
        <v>2428</v>
      </c>
      <c r="E2635" s="83" t="s">
        <v>2429</v>
      </c>
      <c r="F2635" s="81" t="s">
        <v>193</v>
      </c>
      <c r="G2635" s="89">
        <v>2.419E-2</v>
      </c>
      <c r="H2635" s="85"/>
      <c r="I2635" s="86">
        <v>2120.3200000000002</v>
      </c>
      <c r="J2635" s="185">
        <f>ROUND($I2635/$G2635*$N$11,2)</f>
        <v>99801.42</v>
      </c>
      <c r="K2635" s="189">
        <f>ROUND(G2635*J2635,2)</f>
        <v>2414.1999999999998</v>
      </c>
      <c r="L2635" s="189"/>
      <c r="M2635" s="138"/>
      <c r="N2635" s="138"/>
      <c r="O2635" s="138"/>
      <c r="S2635" s="72"/>
      <c r="T2635" s="72"/>
      <c r="U2635" s="72"/>
      <c r="V2635" s="72"/>
    </row>
    <row r="2636" spans="1:22" s="128" customFormat="1" ht="12.75" x14ac:dyDescent="0.25">
      <c r="A2636" s="237"/>
      <c r="B2636" s="125"/>
      <c r="C2636" s="76"/>
      <c r="D2636" s="77"/>
      <c r="E2636" s="126" t="s">
        <v>3363</v>
      </c>
      <c r="F2636" s="125"/>
      <c r="G2636" s="243"/>
      <c r="H2636" s="127"/>
      <c r="I2636" s="78"/>
      <c r="J2636" s="238"/>
      <c r="K2636" s="239"/>
      <c r="L2636" s="239"/>
      <c r="M2636" s="79"/>
      <c r="N2636" s="79"/>
      <c r="O2636" s="79"/>
      <c r="S2636" s="129"/>
      <c r="T2636" s="129"/>
      <c r="U2636" s="129"/>
      <c r="V2636" s="129"/>
    </row>
    <row r="2637" spans="1:22" s="63" customFormat="1" ht="22.5" x14ac:dyDescent="0.25">
      <c r="A2637" s="87">
        <v>22.12</v>
      </c>
      <c r="B2637" s="81" t="s">
        <v>84</v>
      </c>
      <c r="C2637" s="82">
        <v>10</v>
      </c>
      <c r="D2637" s="131" t="s">
        <v>2430</v>
      </c>
      <c r="E2637" s="83" t="s">
        <v>2431</v>
      </c>
      <c r="F2637" s="81" t="s">
        <v>354</v>
      </c>
      <c r="G2637" s="87">
        <v>0.34</v>
      </c>
      <c r="H2637" s="85"/>
      <c r="I2637" s="86">
        <v>2919.26</v>
      </c>
      <c r="J2637" s="185">
        <f t="shared" ref="J2637:J2658" si="252">ROUND($I2637/$G2637*$N$11,2)</f>
        <v>9776.09</v>
      </c>
      <c r="K2637" s="189">
        <f t="shared" ref="K2637:K2658" si="253">ROUND(G2637*J2637,2)</f>
        <v>3323.87</v>
      </c>
      <c r="L2637" s="189"/>
      <c r="M2637" s="138"/>
      <c r="N2637" s="138"/>
      <c r="O2637" s="138"/>
      <c r="S2637" s="72"/>
      <c r="T2637" s="72"/>
      <c r="U2637" s="72"/>
      <c r="V2637" s="72"/>
    </row>
    <row r="2638" spans="1:22" s="63" customFormat="1" ht="22.5" x14ac:dyDescent="0.25">
      <c r="A2638" s="87">
        <v>22.13</v>
      </c>
      <c r="B2638" s="81" t="s">
        <v>84</v>
      </c>
      <c r="C2638" s="80">
        <v>10.1</v>
      </c>
      <c r="D2638" s="131" t="s">
        <v>2432</v>
      </c>
      <c r="E2638" s="83" t="s">
        <v>2433</v>
      </c>
      <c r="F2638" s="81" t="s">
        <v>334</v>
      </c>
      <c r="G2638" s="82">
        <v>34</v>
      </c>
      <c r="H2638" s="85"/>
      <c r="I2638" s="86">
        <v>19220.23</v>
      </c>
      <c r="J2638" s="185">
        <f t="shared" si="252"/>
        <v>643.65</v>
      </c>
      <c r="K2638" s="189">
        <f t="shared" si="253"/>
        <v>21884.1</v>
      </c>
      <c r="L2638" s="189"/>
      <c r="M2638" s="138"/>
      <c r="N2638" s="138"/>
      <c r="O2638" s="138"/>
      <c r="S2638" s="72"/>
      <c r="T2638" s="72"/>
      <c r="U2638" s="72"/>
      <c r="V2638" s="72"/>
    </row>
    <row r="2639" spans="1:22" s="63" customFormat="1" ht="15" x14ac:dyDescent="0.25">
      <c r="A2639" s="87">
        <v>22.14</v>
      </c>
      <c r="B2639" s="81" t="s">
        <v>84</v>
      </c>
      <c r="C2639" s="82">
        <v>11</v>
      </c>
      <c r="D2639" s="131" t="s">
        <v>2434</v>
      </c>
      <c r="E2639" s="83" t="s">
        <v>2435</v>
      </c>
      <c r="F2639" s="81" t="s">
        <v>354</v>
      </c>
      <c r="G2639" s="84">
        <v>4.3999999999999997E-2</v>
      </c>
      <c r="H2639" s="85"/>
      <c r="I2639" s="86">
        <v>3455.93</v>
      </c>
      <c r="J2639" s="185">
        <f t="shared" si="252"/>
        <v>89430.04</v>
      </c>
      <c r="K2639" s="189">
        <f t="shared" si="253"/>
        <v>3934.92</v>
      </c>
      <c r="L2639" s="189"/>
      <c r="M2639" s="138"/>
      <c r="N2639" s="138"/>
      <c r="O2639" s="138"/>
      <c r="S2639" s="72"/>
      <c r="T2639" s="72"/>
      <c r="U2639" s="72"/>
      <c r="V2639" s="72"/>
    </row>
    <row r="2640" spans="1:22" s="63" customFormat="1" ht="22.5" x14ac:dyDescent="0.25">
      <c r="A2640" s="87">
        <v>22.15</v>
      </c>
      <c r="B2640" s="81" t="s">
        <v>84</v>
      </c>
      <c r="C2640" s="80">
        <v>11.1</v>
      </c>
      <c r="D2640" s="131" t="s">
        <v>2436</v>
      </c>
      <c r="E2640" s="83" t="s">
        <v>2437</v>
      </c>
      <c r="F2640" s="81" t="s">
        <v>334</v>
      </c>
      <c r="G2640" s="84">
        <v>4.444</v>
      </c>
      <c r="H2640" s="85"/>
      <c r="I2640" s="86">
        <v>5993.2</v>
      </c>
      <c r="J2640" s="185">
        <f t="shared" si="252"/>
        <v>1535.52</v>
      </c>
      <c r="K2640" s="189">
        <f t="shared" si="253"/>
        <v>6823.85</v>
      </c>
      <c r="L2640" s="189"/>
      <c r="M2640" s="138"/>
      <c r="N2640" s="138"/>
      <c r="O2640" s="138"/>
      <c r="S2640" s="72"/>
      <c r="T2640" s="72"/>
      <c r="U2640" s="72"/>
      <c r="V2640" s="72"/>
    </row>
    <row r="2641" spans="1:22" s="63" customFormat="1" ht="15" x14ac:dyDescent="0.25">
      <c r="A2641" s="87">
        <v>22.16</v>
      </c>
      <c r="B2641" s="81" t="s">
        <v>84</v>
      </c>
      <c r="C2641" s="82">
        <v>12</v>
      </c>
      <c r="D2641" s="131" t="s">
        <v>2438</v>
      </c>
      <c r="E2641" s="83" t="s">
        <v>2439</v>
      </c>
      <c r="F2641" s="81" t="s">
        <v>354</v>
      </c>
      <c r="G2641" s="84">
        <v>2.8000000000000001E-2</v>
      </c>
      <c r="H2641" s="85"/>
      <c r="I2641" s="86">
        <v>3004.24</v>
      </c>
      <c r="J2641" s="185">
        <f t="shared" si="252"/>
        <v>122165.27</v>
      </c>
      <c r="K2641" s="189">
        <f t="shared" si="253"/>
        <v>3420.63</v>
      </c>
      <c r="L2641" s="189"/>
      <c r="M2641" s="138"/>
      <c r="N2641" s="138"/>
      <c r="O2641" s="138"/>
      <c r="S2641" s="72"/>
      <c r="T2641" s="72"/>
      <c r="U2641" s="72"/>
      <c r="V2641" s="72"/>
    </row>
    <row r="2642" spans="1:22" s="63" customFormat="1" ht="22.5" x14ac:dyDescent="0.25">
      <c r="A2642" s="87">
        <v>22.17</v>
      </c>
      <c r="B2642" s="81" t="s">
        <v>84</v>
      </c>
      <c r="C2642" s="80">
        <v>12.1</v>
      </c>
      <c r="D2642" s="131" t="s">
        <v>872</v>
      </c>
      <c r="E2642" s="83" t="s">
        <v>2090</v>
      </c>
      <c r="F2642" s="81" t="s">
        <v>334</v>
      </c>
      <c r="G2642" s="80">
        <v>2.8</v>
      </c>
      <c r="H2642" s="85"/>
      <c r="I2642" s="86">
        <v>830.19</v>
      </c>
      <c r="J2642" s="185">
        <f t="shared" si="252"/>
        <v>337.59</v>
      </c>
      <c r="K2642" s="189">
        <f t="shared" si="253"/>
        <v>945.25</v>
      </c>
      <c r="L2642" s="189"/>
      <c r="M2642" s="138"/>
      <c r="N2642" s="138"/>
      <c r="O2642" s="138"/>
      <c r="S2642" s="72"/>
      <c r="T2642" s="72"/>
      <c r="U2642" s="72"/>
      <c r="V2642" s="72"/>
    </row>
    <row r="2643" spans="1:22" s="63" customFormat="1" ht="22.5" x14ac:dyDescent="0.25">
      <c r="A2643" s="87">
        <v>22.18</v>
      </c>
      <c r="B2643" s="81" t="s">
        <v>84</v>
      </c>
      <c r="C2643" s="80">
        <v>12.2</v>
      </c>
      <c r="D2643" s="131" t="s">
        <v>751</v>
      </c>
      <c r="E2643" s="83" t="s">
        <v>752</v>
      </c>
      <c r="F2643" s="81" t="s">
        <v>219</v>
      </c>
      <c r="G2643" s="82">
        <v>2</v>
      </c>
      <c r="H2643" s="85"/>
      <c r="I2643" s="86">
        <v>6826.94</v>
      </c>
      <c r="J2643" s="185">
        <f t="shared" si="252"/>
        <v>3886.58</v>
      </c>
      <c r="K2643" s="189">
        <f t="shared" si="253"/>
        <v>7773.16</v>
      </c>
      <c r="L2643" s="189"/>
      <c r="M2643" s="138"/>
      <c r="N2643" s="138"/>
      <c r="O2643" s="138"/>
      <c r="S2643" s="72"/>
      <c r="T2643" s="72"/>
      <c r="U2643" s="72"/>
      <c r="V2643" s="72"/>
    </row>
    <row r="2644" spans="1:22" s="63" customFormat="1" ht="22.5" x14ac:dyDescent="0.25">
      <c r="A2644" s="87">
        <v>22.19</v>
      </c>
      <c r="B2644" s="81" t="s">
        <v>84</v>
      </c>
      <c r="C2644" s="80">
        <v>12.3</v>
      </c>
      <c r="D2644" s="131" t="s">
        <v>2440</v>
      </c>
      <c r="E2644" s="83" t="s">
        <v>2441</v>
      </c>
      <c r="F2644" s="81" t="s">
        <v>219</v>
      </c>
      <c r="G2644" s="82">
        <v>2</v>
      </c>
      <c r="H2644" s="85"/>
      <c r="I2644" s="86">
        <v>1949.16</v>
      </c>
      <c r="J2644" s="185">
        <f t="shared" si="252"/>
        <v>1109.6600000000001</v>
      </c>
      <c r="K2644" s="189">
        <f t="shared" si="253"/>
        <v>2219.3200000000002</v>
      </c>
      <c r="L2644" s="189"/>
      <c r="M2644" s="138"/>
      <c r="N2644" s="138"/>
      <c r="O2644" s="138"/>
      <c r="S2644" s="72"/>
      <c r="T2644" s="72"/>
      <c r="U2644" s="72"/>
      <c r="V2644" s="72"/>
    </row>
    <row r="2645" spans="1:22" s="63" customFormat="1" ht="33.75" x14ac:dyDescent="0.25">
      <c r="A2645" s="87">
        <v>22.2</v>
      </c>
      <c r="B2645" s="81" t="s">
        <v>84</v>
      </c>
      <c r="C2645" s="82">
        <v>13</v>
      </c>
      <c r="D2645" s="131" t="s">
        <v>2442</v>
      </c>
      <c r="E2645" s="83" t="s">
        <v>2443</v>
      </c>
      <c r="F2645" s="81" t="s">
        <v>219</v>
      </c>
      <c r="G2645" s="82">
        <v>3</v>
      </c>
      <c r="H2645" s="85"/>
      <c r="I2645" s="86">
        <v>5189.8999999999996</v>
      </c>
      <c r="J2645" s="185">
        <f t="shared" si="252"/>
        <v>1969.74</v>
      </c>
      <c r="K2645" s="189">
        <f t="shared" si="253"/>
        <v>5909.22</v>
      </c>
      <c r="L2645" s="189"/>
      <c r="M2645" s="138"/>
      <c r="N2645" s="138"/>
      <c r="O2645" s="138"/>
      <c r="S2645" s="72"/>
      <c r="T2645" s="72"/>
      <c r="U2645" s="72"/>
      <c r="V2645" s="72"/>
    </row>
    <row r="2646" spans="1:22" s="63" customFormat="1" ht="22.5" x14ac:dyDescent="0.25">
      <c r="A2646" s="87">
        <v>22.21</v>
      </c>
      <c r="B2646" s="81" t="s">
        <v>84</v>
      </c>
      <c r="C2646" s="80">
        <v>13.1</v>
      </c>
      <c r="D2646" s="131" t="s">
        <v>2444</v>
      </c>
      <c r="E2646" s="83" t="s">
        <v>2445</v>
      </c>
      <c r="F2646" s="81" t="s">
        <v>219</v>
      </c>
      <c r="G2646" s="82">
        <v>3</v>
      </c>
      <c r="H2646" s="85"/>
      <c r="I2646" s="86">
        <v>7339.32</v>
      </c>
      <c r="J2646" s="185">
        <f t="shared" si="252"/>
        <v>2785.52</v>
      </c>
      <c r="K2646" s="189">
        <f t="shared" si="253"/>
        <v>8356.56</v>
      </c>
      <c r="L2646" s="189"/>
      <c r="M2646" s="138"/>
      <c r="N2646" s="138"/>
      <c r="O2646" s="138"/>
      <c r="S2646" s="72"/>
      <c r="T2646" s="72"/>
      <c r="U2646" s="72"/>
      <c r="V2646" s="72"/>
    </row>
    <row r="2647" spans="1:22" s="63" customFormat="1" ht="15" x14ac:dyDescent="0.25">
      <c r="A2647" s="87">
        <v>22.22</v>
      </c>
      <c r="B2647" s="81" t="s">
        <v>84</v>
      </c>
      <c r="C2647" s="82">
        <v>14</v>
      </c>
      <c r="D2647" s="131" t="s">
        <v>294</v>
      </c>
      <c r="E2647" s="83" t="s">
        <v>295</v>
      </c>
      <c r="F2647" s="81" t="s">
        <v>196</v>
      </c>
      <c r="G2647" s="88">
        <v>1.5E-3</v>
      </c>
      <c r="H2647" s="85"/>
      <c r="I2647" s="86">
        <v>300.95999999999998</v>
      </c>
      <c r="J2647" s="185">
        <f t="shared" si="252"/>
        <v>228448.7</v>
      </c>
      <c r="K2647" s="189">
        <f t="shared" si="253"/>
        <v>342.67</v>
      </c>
      <c r="L2647" s="189"/>
      <c r="M2647" s="138"/>
      <c r="N2647" s="138"/>
      <c r="O2647" s="138"/>
      <c r="S2647" s="72"/>
      <c r="T2647" s="72"/>
      <c r="U2647" s="72"/>
      <c r="V2647" s="72"/>
    </row>
    <row r="2648" spans="1:22" s="63" customFormat="1" ht="22.5" x14ac:dyDescent="0.25">
      <c r="A2648" s="87">
        <v>22.23</v>
      </c>
      <c r="B2648" s="81" t="s">
        <v>84</v>
      </c>
      <c r="C2648" s="80">
        <v>14.1</v>
      </c>
      <c r="D2648" s="131" t="s">
        <v>296</v>
      </c>
      <c r="E2648" s="83" t="s">
        <v>297</v>
      </c>
      <c r="F2648" s="81" t="s">
        <v>205</v>
      </c>
      <c r="G2648" s="84">
        <v>0.153</v>
      </c>
      <c r="H2648" s="85"/>
      <c r="I2648" s="86">
        <v>634.48</v>
      </c>
      <c r="J2648" s="185">
        <f t="shared" si="252"/>
        <v>4721.6899999999996</v>
      </c>
      <c r="K2648" s="189">
        <f t="shared" si="253"/>
        <v>722.42</v>
      </c>
      <c r="L2648" s="189"/>
      <c r="M2648" s="138"/>
      <c r="N2648" s="138"/>
      <c r="O2648" s="138"/>
      <c r="S2648" s="72"/>
      <c r="T2648" s="72"/>
      <c r="U2648" s="72"/>
      <c r="V2648" s="72"/>
    </row>
    <row r="2649" spans="1:22" s="63" customFormat="1" ht="15" x14ac:dyDescent="0.25">
      <c r="A2649" s="87">
        <v>22.24</v>
      </c>
      <c r="B2649" s="81" t="s">
        <v>84</v>
      </c>
      <c r="C2649" s="82">
        <v>15</v>
      </c>
      <c r="D2649" s="131" t="s">
        <v>2446</v>
      </c>
      <c r="E2649" s="83" t="s">
        <v>2447</v>
      </c>
      <c r="F2649" s="81" t="s">
        <v>2448</v>
      </c>
      <c r="G2649" s="82">
        <v>2</v>
      </c>
      <c r="H2649" s="85"/>
      <c r="I2649" s="86">
        <v>4587.67</v>
      </c>
      <c r="J2649" s="185">
        <f t="shared" si="252"/>
        <v>2611.7600000000002</v>
      </c>
      <c r="K2649" s="189">
        <f t="shared" si="253"/>
        <v>5223.5200000000004</v>
      </c>
      <c r="L2649" s="189"/>
      <c r="M2649" s="138"/>
      <c r="N2649" s="138"/>
      <c r="O2649" s="138"/>
      <c r="S2649" s="72"/>
      <c r="T2649" s="72"/>
      <c r="U2649" s="72"/>
      <c r="V2649" s="72"/>
    </row>
    <row r="2650" spans="1:22" s="63" customFormat="1" ht="22.5" x14ac:dyDescent="0.25">
      <c r="A2650" s="87">
        <v>22.25</v>
      </c>
      <c r="B2650" s="81" t="s">
        <v>84</v>
      </c>
      <c r="C2650" s="82">
        <v>16</v>
      </c>
      <c r="D2650" s="131" t="s">
        <v>2449</v>
      </c>
      <c r="E2650" s="83" t="s">
        <v>2450</v>
      </c>
      <c r="F2650" s="81" t="s">
        <v>205</v>
      </c>
      <c r="G2650" s="80">
        <v>0.1</v>
      </c>
      <c r="H2650" s="85"/>
      <c r="I2650" s="86">
        <v>503.06</v>
      </c>
      <c r="J2650" s="185">
        <f t="shared" si="252"/>
        <v>5727.84</v>
      </c>
      <c r="K2650" s="189">
        <f t="shared" si="253"/>
        <v>572.78</v>
      </c>
      <c r="L2650" s="189"/>
      <c r="M2650" s="138"/>
      <c r="N2650" s="138"/>
      <c r="O2650" s="138"/>
      <c r="S2650" s="72"/>
      <c r="T2650" s="72"/>
      <c r="U2650" s="72"/>
      <c r="V2650" s="72"/>
    </row>
    <row r="2651" spans="1:22" s="63" customFormat="1" ht="22.5" x14ac:dyDescent="0.25">
      <c r="A2651" s="87">
        <v>22.26</v>
      </c>
      <c r="B2651" s="81" t="s">
        <v>84</v>
      </c>
      <c r="C2651" s="80">
        <v>16.100000000000001</v>
      </c>
      <c r="D2651" s="131" t="s">
        <v>2451</v>
      </c>
      <c r="E2651" s="83" t="s">
        <v>2452</v>
      </c>
      <c r="F2651" s="81" t="s">
        <v>205</v>
      </c>
      <c r="G2651" s="88">
        <v>0.10150000000000001</v>
      </c>
      <c r="H2651" s="85"/>
      <c r="I2651" s="86">
        <v>17.760000000000002</v>
      </c>
      <c r="J2651" s="185">
        <f t="shared" si="252"/>
        <v>199.23</v>
      </c>
      <c r="K2651" s="189">
        <f t="shared" si="253"/>
        <v>20.22</v>
      </c>
      <c r="L2651" s="189"/>
      <c r="M2651" s="138"/>
      <c r="N2651" s="138"/>
      <c r="O2651" s="138"/>
      <c r="S2651" s="72"/>
      <c r="T2651" s="72"/>
      <c r="U2651" s="72"/>
      <c r="V2651" s="72"/>
    </row>
    <row r="2652" spans="1:22" s="63" customFormat="1" ht="22.5" x14ac:dyDescent="0.25">
      <c r="A2652" s="87">
        <v>22.27</v>
      </c>
      <c r="B2652" s="81" t="s">
        <v>84</v>
      </c>
      <c r="C2652" s="82">
        <v>17</v>
      </c>
      <c r="D2652" s="131" t="s">
        <v>2453</v>
      </c>
      <c r="E2652" s="83" t="s">
        <v>2454</v>
      </c>
      <c r="F2652" s="81" t="s">
        <v>354</v>
      </c>
      <c r="G2652" s="87">
        <v>0.37</v>
      </c>
      <c r="H2652" s="85"/>
      <c r="I2652" s="86">
        <v>4825.3500000000004</v>
      </c>
      <c r="J2652" s="185">
        <f t="shared" si="252"/>
        <v>14849.04</v>
      </c>
      <c r="K2652" s="189">
        <f t="shared" si="253"/>
        <v>5494.14</v>
      </c>
      <c r="L2652" s="189"/>
      <c r="M2652" s="138"/>
      <c r="N2652" s="138"/>
      <c r="O2652" s="138"/>
      <c r="S2652" s="72"/>
      <c r="T2652" s="72"/>
      <c r="U2652" s="72"/>
      <c r="V2652" s="72"/>
    </row>
    <row r="2653" spans="1:22" s="63" customFormat="1" ht="33.75" x14ac:dyDescent="0.25">
      <c r="A2653" s="87">
        <v>22.28</v>
      </c>
      <c r="B2653" s="81" t="s">
        <v>84</v>
      </c>
      <c r="C2653" s="80">
        <v>17.100000000000001</v>
      </c>
      <c r="D2653" s="131" t="s">
        <v>2455</v>
      </c>
      <c r="E2653" s="83" t="s">
        <v>2456</v>
      </c>
      <c r="F2653" s="81" t="s">
        <v>2120</v>
      </c>
      <c r="G2653" s="89">
        <v>3.7740000000000003E-2</v>
      </c>
      <c r="H2653" s="85"/>
      <c r="I2653" s="86">
        <v>919.97</v>
      </c>
      <c r="J2653" s="185">
        <f t="shared" si="252"/>
        <v>27755.11</v>
      </c>
      <c r="K2653" s="189">
        <f t="shared" si="253"/>
        <v>1047.48</v>
      </c>
      <c r="L2653" s="189"/>
      <c r="M2653" s="138"/>
      <c r="N2653" s="138"/>
      <c r="O2653" s="138"/>
      <c r="S2653" s="72"/>
      <c r="T2653" s="72"/>
      <c r="U2653" s="72"/>
      <c r="V2653" s="72"/>
    </row>
    <row r="2654" spans="1:22" s="63" customFormat="1" ht="15" x14ac:dyDescent="0.25">
      <c r="A2654" s="87">
        <v>22.29</v>
      </c>
      <c r="B2654" s="81" t="s">
        <v>84</v>
      </c>
      <c r="C2654" s="82">
        <v>18</v>
      </c>
      <c r="D2654" s="131" t="s">
        <v>2398</v>
      </c>
      <c r="E2654" s="83" t="s">
        <v>2399</v>
      </c>
      <c r="F2654" s="81" t="s">
        <v>2350</v>
      </c>
      <c r="G2654" s="84">
        <v>3.4000000000000002E-2</v>
      </c>
      <c r="H2654" s="85"/>
      <c r="I2654" s="86">
        <v>429.64</v>
      </c>
      <c r="J2654" s="185">
        <f t="shared" si="252"/>
        <v>14387.89</v>
      </c>
      <c r="K2654" s="189">
        <f t="shared" si="253"/>
        <v>489.19</v>
      </c>
      <c r="L2654" s="189"/>
      <c r="M2654" s="138"/>
      <c r="N2654" s="138"/>
      <c r="O2654" s="138"/>
      <c r="S2654" s="72"/>
      <c r="T2654" s="72"/>
      <c r="U2654" s="72"/>
      <c r="V2654" s="72"/>
    </row>
    <row r="2655" spans="1:22" s="63" customFormat="1" ht="22.5" x14ac:dyDescent="0.25">
      <c r="A2655" s="87">
        <v>22.3</v>
      </c>
      <c r="B2655" s="81" t="s">
        <v>84</v>
      </c>
      <c r="C2655" s="80">
        <v>18.100000000000001</v>
      </c>
      <c r="D2655" s="131" t="s">
        <v>2457</v>
      </c>
      <c r="E2655" s="83" t="s">
        <v>2458</v>
      </c>
      <c r="F2655" s="81" t="s">
        <v>354</v>
      </c>
      <c r="G2655" s="88">
        <v>0.3468</v>
      </c>
      <c r="H2655" s="85"/>
      <c r="I2655" s="86">
        <v>80.099999999999994</v>
      </c>
      <c r="J2655" s="185">
        <f t="shared" si="252"/>
        <v>262.98</v>
      </c>
      <c r="K2655" s="189">
        <f t="shared" si="253"/>
        <v>91.2</v>
      </c>
      <c r="L2655" s="189"/>
      <c r="M2655" s="138"/>
      <c r="N2655" s="138"/>
      <c r="O2655" s="138"/>
      <c r="S2655" s="72"/>
      <c r="T2655" s="72"/>
      <c r="U2655" s="72"/>
      <c r="V2655" s="72"/>
    </row>
    <row r="2656" spans="1:22" s="63" customFormat="1" ht="22.5" x14ac:dyDescent="0.25">
      <c r="A2656" s="87">
        <v>22.31</v>
      </c>
      <c r="B2656" s="81" t="s">
        <v>84</v>
      </c>
      <c r="C2656" s="82">
        <v>19</v>
      </c>
      <c r="D2656" s="131" t="s">
        <v>2459</v>
      </c>
      <c r="E2656" s="83" t="s">
        <v>2460</v>
      </c>
      <c r="F2656" s="81" t="s">
        <v>354</v>
      </c>
      <c r="G2656" s="87">
        <v>0.34</v>
      </c>
      <c r="H2656" s="85"/>
      <c r="I2656" s="86">
        <v>304.02</v>
      </c>
      <c r="J2656" s="185">
        <f t="shared" si="252"/>
        <v>1018.11</v>
      </c>
      <c r="K2656" s="189">
        <f t="shared" si="253"/>
        <v>346.16</v>
      </c>
      <c r="L2656" s="189"/>
      <c r="M2656" s="138"/>
      <c r="N2656" s="138"/>
      <c r="O2656" s="138"/>
      <c r="S2656" s="72"/>
      <c r="T2656" s="72"/>
      <c r="U2656" s="72"/>
      <c r="V2656" s="72"/>
    </row>
    <row r="2657" spans="1:22" s="63" customFormat="1" ht="22.5" x14ac:dyDescent="0.25">
      <c r="A2657" s="87">
        <v>22.32</v>
      </c>
      <c r="B2657" s="81" t="s">
        <v>84</v>
      </c>
      <c r="C2657" s="82">
        <v>20</v>
      </c>
      <c r="D2657" s="131" t="s">
        <v>2461</v>
      </c>
      <c r="E2657" s="83" t="s">
        <v>2462</v>
      </c>
      <c r="F2657" s="81" t="s">
        <v>354</v>
      </c>
      <c r="G2657" s="87">
        <v>0.34</v>
      </c>
      <c r="H2657" s="85"/>
      <c r="I2657" s="86">
        <v>117.85</v>
      </c>
      <c r="J2657" s="185">
        <f t="shared" si="252"/>
        <v>394.66</v>
      </c>
      <c r="K2657" s="189">
        <f t="shared" si="253"/>
        <v>134.18</v>
      </c>
      <c r="L2657" s="189"/>
      <c r="M2657" s="138"/>
      <c r="N2657" s="138"/>
      <c r="O2657" s="138"/>
      <c r="S2657" s="72"/>
      <c r="T2657" s="72"/>
      <c r="U2657" s="72"/>
      <c r="V2657" s="72"/>
    </row>
    <row r="2658" spans="1:22" s="63" customFormat="1" ht="22.5" x14ac:dyDescent="0.25">
      <c r="A2658" s="87">
        <v>22.33</v>
      </c>
      <c r="B2658" s="81" t="s">
        <v>84</v>
      </c>
      <c r="C2658" s="82">
        <v>21</v>
      </c>
      <c r="D2658" s="131" t="s">
        <v>2463</v>
      </c>
      <c r="E2658" s="83" t="s">
        <v>2464</v>
      </c>
      <c r="F2658" s="81" t="s">
        <v>2465</v>
      </c>
      <c r="G2658" s="82">
        <v>1</v>
      </c>
      <c r="H2658" s="85"/>
      <c r="I2658" s="86">
        <v>42360.97</v>
      </c>
      <c r="J2658" s="185">
        <f t="shared" si="252"/>
        <v>48232.2</v>
      </c>
      <c r="K2658" s="189">
        <f t="shared" si="253"/>
        <v>48232.2</v>
      </c>
      <c r="L2658" s="189"/>
      <c r="M2658" s="138"/>
      <c r="N2658" s="138"/>
      <c r="O2658" s="138"/>
      <c r="S2658" s="72"/>
      <c r="T2658" s="72"/>
      <c r="U2658" s="72"/>
      <c r="V2658" s="72"/>
    </row>
    <row r="2659" spans="1:22" s="128" customFormat="1" ht="12.75" x14ac:dyDescent="0.25">
      <c r="A2659" s="237"/>
      <c r="B2659" s="125"/>
      <c r="C2659" s="76"/>
      <c r="D2659" s="77"/>
      <c r="E2659" s="126" t="s">
        <v>3364</v>
      </c>
      <c r="F2659" s="125"/>
      <c r="G2659" s="76"/>
      <c r="H2659" s="127"/>
      <c r="I2659" s="78"/>
      <c r="J2659" s="238"/>
      <c r="K2659" s="239"/>
      <c r="L2659" s="239"/>
      <c r="M2659" s="79"/>
      <c r="N2659" s="79"/>
      <c r="O2659" s="79"/>
      <c r="S2659" s="129"/>
      <c r="T2659" s="129"/>
      <c r="U2659" s="129"/>
      <c r="V2659" s="129"/>
    </row>
    <row r="2660" spans="1:22" s="128" customFormat="1" ht="12.75" x14ac:dyDescent="0.25">
      <c r="A2660" s="237"/>
      <c r="B2660" s="125"/>
      <c r="C2660" s="76"/>
      <c r="D2660" s="77"/>
      <c r="E2660" s="126" t="s">
        <v>3363</v>
      </c>
      <c r="F2660" s="125"/>
      <c r="G2660" s="76"/>
      <c r="H2660" s="127"/>
      <c r="I2660" s="78"/>
      <c r="J2660" s="238"/>
      <c r="K2660" s="239"/>
      <c r="L2660" s="239"/>
      <c r="M2660" s="79"/>
      <c r="N2660" s="79"/>
      <c r="O2660" s="79"/>
      <c r="S2660" s="129"/>
      <c r="T2660" s="129"/>
      <c r="U2660" s="129"/>
      <c r="V2660" s="129"/>
    </row>
    <row r="2661" spans="1:22" s="63" customFormat="1" ht="22.5" x14ac:dyDescent="0.25">
      <c r="A2661" s="87">
        <v>22.34</v>
      </c>
      <c r="B2661" s="81" t="s">
        <v>84</v>
      </c>
      <c r="C2661" s="82">
        <v>22</v>
      </c>
      <c r="D2661" s="131" t="s">
        <v>2466</v>
      </c>
      <c r="E2661" s="83" t="s">
        <v>2467</v>
      </c>
      <c r="F2661" s="81" t="s">
        <v>354</v>
      </c>
      <c r="G2661" s="84">
        <v>0.129</v>
      </c>
      <c r="H2661" s="85"/>
      <c r="I2661" s="86">
        <v>5386.01</v>
      </c>
      <c r="J2661" s="185">
        <f t="shared" ref="J2661:J2675" si="254">ROUND($I2661/$G2661*$N$11,2)</f>
        <v>47538.84</v>
      </c>
      <c r="K2661" s="189">
        <f t="shared" ref="K2661:K2675" si="255">ROUND(G2661*J2661,2)</f>
        <v>6132.51</v>
      </c>
      <c r="L2661" s="189"/>
      <c r="M2661" s="138"/>
      <c r="N2661" s="138"/>
      <c r="O2661" s="138"/>
      <c r="S2661" s="72"/>
      <c r="T2661" s="72"/>
      <c r="U2661" s="72"/>
      <c r="V2661" s="72"/>
    </row>
    <row r="2662" spans="1:22" s="63" customFormat="1" ht="33.75" x14ac:dyDescent="0.25">
      <c r="A2662" s="87">
        <v>22.35</v>
      </c>
      <c r="B2662" s="81" t="s">
        <v>84</v>
      </c>
      <c r="C2662" s="80">
        <v>22.1</v>
      </c>
      <c r="D2662" s="131" t="s">
        <v>2468</v>
      </c>
      <c r="E2662" s="83" t="s">
        <v>2469</v>
      </c>
      <c r="F2662" s="81" t="s">
        <v>226</v>
      </c>
      <c r="G2662" s="89">
        <v>3.8460000000000001E-2</v>
      </c>
      <c r="H2662" s="85"/>
      <c r="I2662" s="86">
        <v>3150.71</v>
      </c>
      <c r="J2662" s="185">
        <f t="shared" si="254"/>
        <v>93276.09</v>
      </c>
      <c r="K2662" s="189">
        <f t="shared" si="255"/>
        <v>3587.4</v>
      </c>
      <c r="L2662" s="189"/>
      <c r="M2662" s="138"/>
      <c r="N2662" s="138"/>
      <c r="O2662" s="138"/>
      <c r="S2662" s="72"/>
      <c r="T2662" s="72"/>
      <c r="U2662" s="72"/>
      <c r="V2662" s="72"/>
    </row>
    <row r="2663" spans="1:22" s="63" customFormat="1" ht="22.5" x14ac:dyDescent="0.25">
      <c r="A2663" s="87">
        <v>22.36</v>
      </c>
      <c r="B2663" s="81" t="s">
        <v>84</v>
      </c>
      <c r="C2663" s="82">
        <v>23</v>
      </c>
      <c r="D2663" s="131" t="s">
        <v>2470</v>
      </c>
      <c r="E2663" s="83" t="s">
        <v>2471</v>
      </c>
      <c r="F2663" s="81" t="s">
        <v>354</v>
      </c>
      <c r="G2663" s="84">
        <v>0.129</v>
      </c>
      <c r="H2663" s="85"/>
      <c r="I2663" s="86">
        <v>8356.1299999999992</v>
      </c>
      <c r="J2663" s="185">
        <f t="shared" si="254"/>
        <v>73754.179999999993</v>
      </c>
      <c r="K2663" s="189">
        <f t="shared" si="255"/>
        <v>9514.2900000000009</v>
      </c>
      <c r="L2663" s="189"/>
      <c r="M2663" s="138"/>
      <c r="N2663" s="138"/>
      <c r="O2663" s="138"/>
      <c r="S2663" s="72"/>
      <c r="T2663" s="72"/>
      <c r="U2663" s="72"/>
      <c r="V2663" s="72"/>
    </row>
    <row r="2664" spans="1:22" s="63" customFormat="1" ht="33.75" x14ac:dyDescent="0.25">
      <c r="A2664" s="87">
        <v>22.37</v>
      </c>
      <c r="B2664" s="81" t="s">
        <v>84</v>
      </c>
      <c r="C2664" s="80">
        <v>23.1</v>
      </c>
      <c r="D2664" s="131" t="s">
        <v>2472</v>
      </c>
      <c r="E2664" s="83" t="s">
        <v>2473</v>
      </c>
      <c r="F2664" s="81" t="s">
        <v>334</v>
      </c>
      <c r="G2664" s="84">
        <v>13.029</v>
      </c>
      <c r="H2664" s="85"/>
      <c r="I2664" s="86">
        <v>3135.44</v>
      </c>
      <c r="J2664" s="185">
        <f t="shared" si="254"/>
        <v>274.01</v>
      </c>
      <c r="K2664" s="189">
        <f t="shared" si="255"/>
        <v>3570.08</v>
      </c>
      <c r="L2664" s="189"/>
      <c r="M2664" s="138"/>
      <c r="N2664" s="138"/>
      <c r="O2664" s="138"/>
      <c r="S2664" s="72"/>
      <c r="T2664" s="72"/>
      <c r="U2664" s="72"/>
      <c r="V2664" s="72"/>
    </row>
    <row r="2665" spans="1:22" s="63" customFormat="1" ht="15" x14ac:dyDescent="0.25">
      <c r="A2665" s="87">
        <v>22.38</v>
      </c>
      <c r="B2665" s="81" t="s">
        <v>84</v>
      </c>
      <c r="C2665" s="82">
        <v>24</v>
      </c>
      <c r="D2665" s="131" t="s">
        <v>2474</v>
      </c>
      <c r="E2665" s="83" t="s">
        <v>2475</v>
      </c>
      <c r="F2665" s="81" t="s">
        <v>226</v>
      </c>
      <c r="G2665" s="88">
        <v>4.8999999999999998E-3</v>
      </c>
      <c r="H2665" s="85"/>
      <c r="I2665" s="86">
        <v>4220.76</v>
      </c>
      <c r="J2665" s="185">
        <f t="shared" si="254"/>
        <v>980766.8</v>
      </c>
      <c r="K2665" s="189">
        <f t="shared" si="255"/>
        <v>4805.76</v>
      </c>
      <c r="L2665" s="189"/>
      <c r="M2665" s="138"/>
      <c r="N2665" s="138"/>
      <c r="O2665" s="138"/>
      <c r="S2665" s="72"/>
      <c r="T2665" s="72"/>
      <c r="U2665" s="72"/>
      <c r="V2665" s="72"/>
    </row>
    <row r="2666" spans="1:22" s="63" customFormat="1" ht="22.5" x14ac:dyDescent="0.25">
      <c r="A2666" s="87">
        <v>22.39</v>
      </c>
      <c r="B2666" s="81" t="s">
        <v>84</v>
      </c>
      <c r="C2666" s="80">
        <v>24.1</v>
      </c>
      <c r="D2666" s="131" t="s">
        <v>2476</v>
      </c>
      <c r="E2666" s="83" t="s">
        <v>2477</v>
      </c>
      <c r="F2666" s="81" t="s">
        <v>226</v>
      </c>
      <c r="G2666" s="88">
        <v>-4.8999999999999998E-3</v>
      </c>
      <c r="H2666" s="85"/>
      <c r="I2666" s="86">
        <v>-321.37</v>
      </c>
      <c r="J2666" s="185">
        <f t="shared" si="254"/>
        <v>74675.89</v>
      </c>
      <c r="K2666" s="189">
        <f t="shared" si="255"/>
        <v>-365.91</v>
      </c>
      <c r="L2666" s="189"/>
      <c r="M2666" s="138"/>
      <c r="N2666" s="138"/>
      <c r="O2666" s="138"/>
      <c r="S2666" s="72"/>
      <c r="T2666" s="72"/>
      <c r="U2666" s="72"/>
      <c r="V2666" s="72"/>
    </row>
    <row r="2667" spans="1:22" s="63" customFormat="1" ht="22.5" x14ac:dyDescent="0.25">
      <c r="A2667" s="87">
        <v>22.4</v>
      </c>
      <c r="B2667" s="81" t="s">
        <v>84</v>
      </c>
      <c r="C2667" s="80">
        <v>24.2</v>
      </c>
      <c r="D2667" s="131" t="s">
        <v>2478</v>
      </c>
      <c r="E2667" s="83" t="s">
        <v>2479</v>
      </c>
      <c r="F2667" s="81" t="s">
        <v>219</v>
      </c>
      <c r="G2667" s="82">
        <v>1</v>
      </c>
      <c r="H2667" s="85"/>
      <c r="I2667" s="86">
        <v>257.25</v>
      </c>
      <c r="J2667" s="185">
        <f t="shared" si="254"/>
        <v>292.89999999999998</v>
      </c>
      <c r="K2667" s="189">
        <f t="shared" si="255"/>
        <v>292.89999999999998</v>
      </c>
      <c r="L2667" s="189"/>
      <c r="M2667" s="138"/>
      <c r="N2667" s="138"/>
      <c r="O2667" s="138"/>
      <c r="S2667" s="72"/>
      <c r="T2667" s="72"/>
      <c r="U2667" s="72"/>
      <c r="V2667" s="72"/>
    </row>
    <row r="2668" spans="1:22" s="63" customFormat="1" ht="22.5" x14ac:dyDescent="0.25">
      <c r="A2668" s="87">
        <v>22.41</v>
      </c>
      <c r="B2668" s="81" t="s">
        <v>84</v>
      </c>
      <c r="C2668" s="80">
        <v>24.3</v>
      </c>
      <c r="D2668" s="131" t="s">
        <v>2480</v>
      </c>
      <c r="E2668" s="83" t="s">
        <v>2481</v>
      </c>
      <c r="F2668" s="81" t="s">
        <v>219</v>
      </c>
      <c r="G2668" s="82">
        <v>4</v>
      </c>
      <c r="H2668" s="85"/>
      <c r="I2668" s="86">
        <v>306.89</v>
      </c>
      <c r="J2668" s="185">
        <f t="shared" si="254"/>
        <v>87.36</v>
      </c>
      <c r="K2668" s="189">
        <f t="shared" si="255"/>
        <v>349.44</v>
      </c>
      <c r="L2668" s="189"/>
      <c r="M2668" s="138"/>
      <c r="N2668" s="138"/>
      <c r="O2668" s="138"/>
      <c r="S2668" s="72"/>
      <c r="T2668" s="72"/>
      <c r="U2668" s="72"/>
      <c r="V2668" s="72"/>
    </row>
    <row r="2669" spans="1:22" s="63" customFormat="1" ht="15" x14ac:dyDescent="0.25">
      <c r="A2669" s="87">
        <v>22.42</v>
      </c>
      <c r="B2669" s="81" t="s">
        <v>84</v>
      </c>
      <c r="C2669" s="82">
        <v>25</v>
      </c>
      <c r="D2669" s="131" t="s">
        <v>2482</v>
      </c>
      <c r="E2669" s="83" t="s">
        <v>2483</v>
      </c>
      <c r="F2669" s="81" t="s">
        <v>219</v>
      </c>
      <c r="G2669" s="82">
        <v>2</v>
      </c>
      <c r="H2669" s="85"/>
      <c r="I2669" s="86">
        <v>2503.81</v>
      </c>
      <c r="J2669" s="185">
        <f t="shared" si="254"/>
        <v>1425.42</v>
      </c>
      <c r="K2669" s="189">
        <f t="shared" si="255"/>
        <v>2850.84</v>
      </c>
      <c r="L2669" s="189"/>
      <c r="M2669" s="138"/>
      <c r="N2669" s="138"/>
      <c r="O2669" s="138"/>
      <c r="S2669" s="72"/>
      <c r="T2669" s="72"/>
      <c r="U2669" s="72"/>
      <c r="V2669" s="72"/>
    </row>
    <row r="2670" spans="1:22" s="63" customFormat="1" ht="22.5" x14ac:dyDescent="0.25">
      <c r="A2670" s="87">
        <v>22.43</v>
      </c>
      <c r="B2670" s="81" t="s">
        <v>84</v>
      </c>
      <c r="C2670" s="80">
        <v>25.1</v>
      </c>
      <c r="D2670" s="131" t="s">
        <v>2484</v>
      </c>
      <c r="E2670" s="83" t="s">
        <v>2485</v>
      </c>
      <c r="F2670" s="81" t="s">
        <v>219</v>
      </c>
      <c r="G2670" s="82">
        <v>2</v>
      </c>
      <c r="H2670" s="85"/>
      <c r="I2670" s="86">
        <v>537.6</v>
      </c>
      <c r="J2670" s="185">
        <f t="shared" si="254"/>
        <v>306.06</v>
      </c>
      <c r="K2670" s="189">
        <f t="shared" si="255"/>
        <v>612.12</v>
      </c>
      <c r="L2670" s="189"/>
      <c r="M2670" s="138"/>
      <c r="N2670" s="138"/>
      <c r="O2670" s="138"/>
      <c r="S2670" s="72"/>
      <c r="T2670" s="72"/>
      <c r="U2670" s="72"/>
      <c r="V2670" s="72"/>
    </row>
    <row r="2671" spans="1:22" s="63" customFormat="1" ht="15" x14ac:dyDescent="0.25">
      <c r="A2671" s="87">
        <v>22.44</v>
      </c>
      <c r="B2671" s="81" t="s">
        <v>84</v>
      </c>
      <c r="C2671" s="82">
        <v>26</v>
      </c>
      <c r="D2671" s="131" t="s">
        <v>2486</v>
      </c>
      <c r="E2671" s="83" t="s">
        <v>2487</v>
      </c>
      <c r="F2671" s="81" t="s">
        <v>219</v>
      </c>
      <c r="G2671" s="82">
        <v>1</v>
      </c>
      <c r="H2671" s="85"/>
      <c r="I2671" s="86">
        <v>1727.26</v>
      </c>
      <c r="J2671" s="185">
        <f t="shared" si="254"/>
        <v>1966.66</v>
      </c>
      <c r="K2671" s="189">
        <f t="shared" si="255"/>
        <v>1966.66</v>
      </c>
      <c r="L2671" s="189"/>
      <c r="M2671" s="138"/>
      <c r="N2671" s="138"/>
      <c r="O2671" s="138"/>
      <c r="S2671" s="72"/>
      <c r="T2671" s="72"/>
      <c r="U2671" s="72"/>
      <c r="V2671" s="72"/>
    </row>
    <row r="2672" spans="1:22" s="63" customFormat="1" ht="33.75" x14ac:dyDescent="0.25">
      <c r="A2672" s="87">
        <v>22.45</v>
      </c>
      <c r="B2672" s="81" t="s">
        <v>84</v>
      </c>
      <c r="C2672" s="80">
        <v>26.1</v>
      </c>
      <c r="D2672" s="131" t="s">
        <v>2488</v>
      </c>
      <c r="E2672" s="83" t="s">
        <v>2489</v>
      </c>
      <c r="F2672" s="81" t="s">
        <v>219</v>
      </c>
      <c r="G2672" s="82">
        <v>1</v>
      </c>
      <c r="H2672" s="85"/>
      <c r="I2672" s="86">
        <v>12057.8</v>
      </c>
      <c r="J2672" s="185">
        <f t="shared" si="254"/>
        <v>13729.01</v>
      </c>
      <c r="K2672" s="189">
        <f t="shared" si="255"/>
        <v>13729.01</v>
      </c>
      <c r="L2672" s="189"/>
      <c r="M2672" s="138"/>
      <c r="N2672" s="138"/>
      <c r="O2672" s="138"/>
      <c r="S2672" s="72"/>
      <c r="T2672" s="72"/>
      <c r="U2672" s="72"/>
      <c r="V2672" s="72"/>
    </row>
    <row r="2673" spans="1:22" s="63" customFormat="1" ht="22.5" x14ac:dyDescent="0.25">
      <c r="A2673" s="87">
        <v>22.46</v>
      </c>
      <c r="B2673" s="81" t="s">
        <v>84</v>
      </c>
      <c r="C2673" s="82">
        <v>27</v>
      </c>
      <c r="D2673" s="131" t="s">
        <v>2459</v>
      </c>
      <c r="E2673" s="83" t="s">
        <v>2460</v>
      </c>
      <c r="F2673" s="81" t="s">
        <v>354</v>
      </c>
      <c r="G2673" s="84">
        <v>0.129</v>
      </c>
      <c r="H2673" s="85"/>
      <c r="I2673" s="86">
        <v>114.87</v>
      </c>
      <c r="J2673" s="185">
        <f t="shared" si="254"/>
        <v>1013.88</v>
      </c>
      <c r="K2673" s="189">
        <f t="shared" si="255"/>
        <v>130.79</v>
      </c>
      <c r="L2673" s="189"/>
      <c r="M2673" s="138"/>
      <c r="N2673" s="138"/>
      <c r="O2673" s="138"/>
      <c r="S2673" s="72"/>
      <c r="T2673" s="72"/>
      <c r="U2673" s="72"/>
      <c r="V2673" s="72"/>
    </row>
    <row r="2674" spans="1:22" s="63" customFormat="1" ht="22.5" x14ac:dyDescent="0.25">
      <c r="A2674" s="87">
        <v>22.47</v>
      </c>
      <c r="B2674" s="81" t="s">
        <v>84</v>
      </c>
      <c r="C2674" s="82">
        <v>28</v>
      </c>
      <c r="D2674" s="131" t="s">
        <v>2461</v>
      </c>
      <c r="E2674" s="83" t="s">
        <v>2462</v>
      </c>
      <c r="F2674" s="81" t="s">
        <v>354</v>
      </c>
      <c r="G2674" s="84">
        <v>0.129</v>
      </c>
      <c r="H2674" s="85"/>
      <c r="I2674" s="86">
        <v>44.38</v>
      </c>
      <c r="J2674" s="185">
        <f t="shared" si="254"/>
        <v>391.71</v>
      </c>
      <c r="K2674" s="189">
        <f t="shared" si="255"/>
        <v>50.53</v>
      </c>
      <c r="L2674" s="189"/>
      <c r="M2674" s="138"/>
      <c r="N2674" s="138"/>
      <c r="O2674" s="138"/>
      <c r="S2674" s="72"/>
      <c r="T2674" s="72"/>
      <c r="U2674" s="72"/>
      <c r="V2674" s="72"/>
    </row>
    <row r="2675" spans="1:22" s="63" customFormat="1" ht="22.5" x14ac:dyDescent="0.25">
      <c r="A2675" s="87">
        <v>22.48</v>
      </c>
      <c r="B2675" s="81" t="s">
        <v>84</v>
      </c>
      <c r="C2675" s="82">
        <v>29</v>
      </c>
      <c r="D2675" s="131" t="s">
        <v>2463</v>
      </c>
      <c r="E2675" s="83" t="s">
        <v>2464</v>
      </c>
      <c r="F2675" s="81" t="s">
        <v>2465</v>
      </c>
      <c r="G2675" s="82">
        <v>1</v>
      </c>
      <c r="H2675" s="85"/>
      <c r="I2675" s="86">
        <v>42360.97</v>
      </c>
      <c r="J2675" s="185">
        <f t="shared" si="254"/>
        <v>48232.2</v>
      </c>
      <c r="K2675" s="189">
        <f t="shared" si="255"/>
        <v>48232.2</v>
      </c>
      <c r="L2675" s="189"/>
      <c r="M2675" s="138"/>
      <c r="N2675" s="138"/>
      <c r="O2675" s="138"/>
      <c r="S2675" s="72"/>
      <c r="T2675" s="72"/>
      <c r="U2675" s="72"/>
      <c r="V2675" s="72"/>
    </row>
    <row r="2676" spans="1:22" s="128" customFormat="1" ht="12.75" x14ac:dyDescent="0.25">
      <c r="A2676" s="237"/>
      <c r="B2676" s="125"/>
      <c r="C2676" s="76"/>
      <c r="D2676" s="77"/>
      <c r="E2676" s="126" t="s">
        <v>3365</v>
      </c>
      <c r="F2676" s="125"/>
      <c r="G2676" s="76"/>
      <c r="H2676" s="127"/>
      <c r="I2676" s="78"/>
      <c r="J2676" s="238"/>
      <c r="K2676" s="239"/>
      <c r="L2676" s="239"/>
      <c r="M2676" s="79"/>
      <c r="N2676" s="79"/>
      <c r="O2676" s="79"/>
      <c r="S2676" s="129"/>
      <c r="T2676" s="129"/>
      <c r="U2676" s="129"/>
      <c r="V2676" s="129"/>
    </row>
    <row r="2677" spans="1:22" s="63" customFormat="1" ht="15" x14ac:dyDescent="0.25">
      <c r="A2677" s="87">
        <v>22.49</v>
      </c>
      <c r="B2677" s="81" t="s">
        <v>84</v>
      </c>
      <c r="C2677" s="82">
        <v>30</v>
      </c>
      <c r="D2677" s="131" t="s">
        <v>2490</v>
      </c>
      <c r="E2677" s="83" t="s">
        <v>2491</v>
      </c>
      <c r="F2677" s="81" t="s">
        <v>219</v>
      </c>
      <c r="G2677" s="82">
        <v>1</v>
      </c>
      <c r="H2677" s="85"/>
      <c r="I2677" s="86">
        <v>19569.54</v>
      </c>
      <c r="J2677" s="185">
        <f>ROUND($I2677/$G2677*$N$11,2)</f>
        <v>22281.88</v>
      </c>
      <c r="K2677" s="189">
        <f>ROUND(G2677*J2677,2)</f>
        <v>22281.88</v>
      </c>
      <c r="L2677" s="189"/>
      <c r="M2677" s="138"/>
      <c r="N2677" s="138"/>
      <c r="O2677" s="138"/>
      <c r="S2677" s="72"/>
      <c r="T2677" s="72"/>
      <c r="U2677" s="72"/>
      <c r="V2677" s="72"/>
    </row>
    <row r="2678" spans="1:22" s="63" customFormat="1" ht="33.75" x14ac:dyDescent="0.25">
      <c r="A2678" s="101">
        <v>22.5</v>
      </c>
      <c r="B2678" s="102" t="s">
        <v>84</v>
      </c>
      <c r="C2678" s="103">
        <v>30.1</v>
      </c>
      <c r="D2678" s="167" t="s">
        <v>2492</v>
      </c>
      <c r="E2678" s="104" t="s">
        <v>4014</v>
      </c>
      <c r="F2678" s="102" t="s">
        <v>1512</v>
      </c>
      <c r="G2678" s="105">
        <v>1</v>
      </c>
      <c r="H2678" s="106"/>
      <c r="I2678" s="107">
        <v>326102.34000000003</v>
      </c>
      <c r="J2678" s="192">
        <f>ROUND($I2678/$G2678*$N$12,2)</f>
        <v>364745.47</v>
      </c>
      <c r="K2678" s="193">
        <f>ROUND(G2678*J2678,2)</f>
        <v>364745.47</v>
      </c>
      <c r="L2678" s="193"/>
      <c r="M2678" s="138"/>
      <c r="N2678" s="138"/>
      <c r="O2678" s="138"/>
      <c r="S2678" s="72"/>
      <c r="T2678" s="72"/>
      <c r="U2678" s="72"/>
      <c r="V2678" s="72"/>
    </row>
    <row r="2679" spans="1:22" s="275" customFormat="1" ht="12.75" x14ac:dyDescent="0.25">
      <c r="A2679" s="273"/>
      <c r="B2679" s="263"/>
      <c r="C2679" s="262"/>
      <c r="D2679" s="219"/>
      <c r="E2679" s="248" t="s">
        <v>3366</v>
      </c>
      <c r="F2679" s="263"/>
      <c r="G2679" s="216"/>
      <c r="H2679" s="264"/>
      <c r="I2679" s="221"/>
      <c r="J2679" s="265"/>
      <c r="K2679" s="266"/>
      <c r="L2679" s="266"/>
      <c r="M2679" s="274"/>
      <c r="N2679" s="274"/>
      <c r="O2679" s="274"/>
      <c r="S2679" s="276"/>
      <c r="T2679" s="276"/>
      <c r="U2679" s="276"/>
      <c r="V2679" s="276"/>
    </row>
    <row r="2680" spans="1:22" s="275" customFormat="1" ht="12.75" x14ac:dyDescent="0.25">
      <c r="A2680" s="267"/>
      <c r="B2680" s="268"/>
      <c r="C2680" s="269"/>
      <c r="D2680" s="250"/>
      <c r="E2680" s="126" t="s">
        <v>3363</v>
      </c>
      <c r="F2680" s="268"/>
      <c r="G2680" s="249"/>
      <c r="H2680" s="270"/>
      <c r="I2680" s="251"/>
      <c r="J2680" s="271"/>
      <c r="K2680" s="272"/>
      <c r="L2680" s="272"/>
      <c r="M2680" s="274"/>
      <c r="N2680" s="274"/>
      <c r="O2680" s="274"/>
      <c r="S2680" s="276"/>
      <c r="T2680" s="276"/>
      <c r="U2680" s="276"/>
      <c r="V2680" s="276"/>
    </row>
    <row r="2681" spans="1:22" s="63" customFormat="1" ht="22.5" x14ac:dyDescent="0.25">
      <c r="A2681" s="87">
        <v>22.51</v>
      </c>
      <c r="B2681" s="81" t="s">
        <v>84</v>
      </c>
      <c r="C2681" s="82">
        <v>31</v>
      </c>
      <c r="D2681" s="131" t="s">
        <v>2493</v>
      </c>
      <c r="E2681" s="83" t="s">
        <v>2494</v>
      </c>
      <c r="F2681" s="81" t="s">
        <v>354</v>
      </c>
      <c r="G2681" s="84">
        <v>1.4999999999999999E-2</v>
      </c>
      <c r="H2681" s="85"/>
      <c r="I2681" s="86">
        <v>1006.37</v>
      </c>
      <c r="J2681" s="185">
        <f t="shared" ref="J2681:J2694" si="256">ROUND($I2681/$G2681*$N$11,2)</f>
        <v>76390.19</v>
      </c>
      <c r="K2681" s="189">
        <f t="shared" ref="K2681:K2694" si="257">ROUND(G2681*J2681,2)</f>
        <v>1145.8499999999999</v>
      </c>
      <c r="L2681" s="189"/>
      <c r="M2681" s="138"/>
      <c r="N2681" s="138"/>
      <c r="O2681" s="138"/>
      <c r="S2681" s="72"/>
      <c r="T2681" s="72"/>
      <c r="U2681" s="72"/>
      <c r="V2681" s="72"/>
    </row>
    <row r="2682" spans="1:22" s="63" customFormat="1" ht="33.75" x14ac:dyDescent="0.25">
      <c r="A2682" s="87">
        <v>22.52</v>
      </c>
      <c r="B2682" s="81" t="s">
        <v>84</v>
      </c>
      <c r="C2682" s="80">
        <v>31.1</v>
      </c>
      <c r="D2682" s="131" t="s">
        <v>2472</v>
      </c>
      <c r="E2682" s="83" t="s">
        <v>2473</v>
      </c>
      <c r="F2682" s="81" t="s">
        <v>334</v>
      </c>
      <c r="G2682" s="84">
        <v>1.5149999999999999</v>
      </c>
      <c r="H2682" s="85"/>
      <c r="I2682" s="86">
        <v>364.61</v>
      </c>
      <c r="J2682" s="185">
        <f t="shared" si="256"/>
        <v>274.02</v>
      </c>
      <c r="K2682" s="189">
        <f t="shared" si="257"/>
        <v>415.14</v>
      </c>
      <c r="L2682" s="189"/>
      <c r="M2682" s="138"/>
      <c r="N2682" s="138"/>
      <c r="O2682" s="138"/>
      <c r="S2682" s="72"/>
      <c r="T2682" s="72"/>
      <c r="U2682" s="72"/>
      <c r="V2682" s="72"/>
    </row>
    <row r="2683" spans="1:22" s="63" customFormat="1" ht="22.5" x14ac:dyDescent="0.25">
      <c r="A2683" s="87">
        <v>22.53</v>
      </c>
      <c r="B2683" s="81" t="s">
        <v>84</v>
      </c>
      <c r="C2683" s="82">
        <v>32</v>
      </c>
      <c r="D2683" s="131" t="s">
        <v>2495</v>
      </c>
      <c r="E2683" s="83" t="s">
        <v>2496</v>
      </c>
      <c r="F2683" s="81" t="s">
        <v>354</v>
      </c>
      <c r="G2683" s="87">
        <v>0.04</v>
      </c>
      <c r="H2683" s="85"/>
      <c r="I2683" s="86">
        <v>3611.9</v>
      </c>
      <c r="J2683" s="185">
        <f t="shared" si="256"/>
        <v>102812.73</v>
      </c>
      <c r="K2683" s="189">
        <f t="shared" si="257"/>
        <v>4112.51</v>
      </c>
      <c r="L2683" s="189"/>
      <c r="M2683" s="138"/>
      <c r="N2683" s="138"/>
      <c r="O2683" s="138"/>
      <c r="S2683" s="72"/>
      <c r="T2683" s="72"/>
      <c r="U2683" s="72"/>
      <c r="V2683" s="72"/>
    </row>
    <row r="2684" spans="1:22" s="63" customFormat="1" ht="33.75" x14ac:dyDescent="0.25">
      <c r="A2684" s="87">
        <v>22.54</v>
      </c>
      <c r="B2684" s="81" t="s">
        <v>84</v>
      </c>
      <c r="C2684" s="80">
        <v>32.1</v>
      </c>
      <c r="D2684" s="131" t="s">
        <v>2497</v>
      </c>
      <c r="E2684" s="83" t="s">
        <v>2498</v>
      </c>
      <c r="F2684" s="81" t="s">
        <v>334</v>
      </c>
      <c r="G2684" s="87">
        <v>4.04</v>
      </c>
      <c r="H2684" s="85"/>
      <c r="I2684" s="86">
        <v>1455.79</v>
      </c>
      <c r="J2684" s="185">
        <f t="shared" si="256"/>
        <v>410.29</v>
      </c>
      <c r="K2684" s="189">
        <f t="shared" si="257"/>
        <v>1657.57</v>
      </c>
      <c r="L2684" s="189"/>
      <c r="M2684" s="138"/>
      <c r="N2684" s="138"/>
      <c r="O2684" s="138"/>
      <c r="S2684" s="72"/>
      <c r="T2684" s="72"/>
      <c r="U2684" s="72"/>
      <c r="V2684" s="72"/>
    </row>
    <row r="2685" spans="1:22" s="63" customFormat="1" ht="15" x14ac:dyDescent="0.25">
      <c r="A2685" s="87">
        <v>22.55</v>
      </c>
      <c r="B2685" s="81" t="s">
        <v>84</v>
      </c>
      <c r="C2685" s="82">
        <v>33</v>
      </c>
      <c r="D2685" s="131" t="s">
        <v>2499</v>
      </c>
      <c r="E2685" s="83" t="s">
        <v>2500</v>
      </c>
      <c r="F2685" s="81" t="s">
        <v>219</v>
      </c>
      <c r="G2685" s="82">
        <v>2</v>
      </c>
      <c r="H2685" s="85"/>
      <c r="I2685" s="86">
        <v>12249</v>
      </c>
      <c r="J2685" s="185">
        <f t="shared" si="256"/>
        <v>6973.36</v>
      </c>
      <c r="K2685" s="189">
        <f t="shared" si="257"/>
        <v>13946.72</v>
      </c>
      <c r="L2685" s="189"/>
      <c r="M2685" s="138"/>
      <c r="N2685" s="138"/>
      <c r="O2685" s="138"/>
      <c r="S2685" s="72"/>
      <c r="T2685" s="72"/>
      <c r="U2685" s="72"/>
      <c r="V2685" s="72"/>
    </row>
    <row r="2686" spans="1:22" s="63" customFormat="1" ht="22.5" x14ac:dyDescent="0.25">
      <c r="A2686" s="87">
        <v>22.56</v>
      </c>
      <c r="B2686" s="81" t="s">
        <v>84</v>
      </c>
      <c r="C2686" s="80">
        <v>33.1</v>
      </c>
      <c r="D2686" s="131" t="s">
        <v>2099</v>
      </c>
      <c r="E2686" s="83" t="s">
        <v>2100</v>
      </c>
      <c r="F2686" s="81" t="s">
        <v>334</v>
      </c>
      <c r="G2686" s="87">
        <v>1.01</v>
      </c>
      <c r="H2686" s="85"/>
      <c r="I2686" s="86">
        <v>94.39</v>
      </c>
      <c r="J2686" s="185">
        <f t="shared" si="256"/>
        <v>106.41</v>
      </c>
      <c r="K2686" s="189">
        <f t="shared" si="257"/>
        <v>107.47</v>
      </c>
      <c r="L2686" s="189"/>
      <c r="M2686" s="138"/>
      <c r="N2686" s="138"/>
      <c r="O2686" s="138"/>
      <c r="S2686" s="72"/>
      <c r="T2686" s="72"/>
      <c r="U2686" s="72"/>
      <c r="V2686" s="72"/>
    </row>
    <row r="2687" spans="1:22" s="63" customFormat="1" ht="22.5" x14ac:dyDescent="0.25">
      <c r="A2687" s="87">
        <v>22.57</v>
      </c>
      <c r="B2687" s="81" t="s">
        <v>84</v>
      </c>
      <c r="C2687" s="80">
        <v>33.200000000000003</v>
      </c>
      <c r="D2687" s="131" t="s">
        <v>2097</v>
      </c>
      <c r="E2687" s="83" t="s">
        <v>2098</v>
      </c>
      <c r="F2687" s="81" t="s">
        <v>334</v>
      </c>
      <c r="G2687" s="87">
        <v>6.06</v>
      </c>
      <c r="H2687" s="85"/>
      <c r="I2687" s="86">
        <v>814.74</v>
      </c>
      <c r="J2687" s="185">
        <f t="shared" si="256"/>
        <v>153.08000000000001</v>
      </c>
      <c r="K2687" s="189">
        <f t="shared" si="257"/>
        <v>927.66</v>
      </c>
      <c r="L2687" s="189"/>
      <c r="M2687" s="138"/>
      <c r="N2687" s="138"/>
      <c r="O2687" s="138"/>
      <c r="S2687" s="72"/>
      <c r="T2687" s="72"/>
      <c r="U2687" s="72"/>
      <c r="V2687" s="72"/>
    </row>
    <row r="2688" spans="1:22" s="63" customFormat="1" ht="15" x14ac:dyDescent="0.25">
      <c r="A2688" s="87">
        <v>22.58</v>
      </c>
      <c r="B2688" s="81" t="s">
        <v>84</v>
      </c>
      <c r="C2688" s="82">
        <v>34</v>
      </c>
      <c r="D2688" s="131" t="s">
        <v>2474</v>
      </c>
      <c r="E2688" s="83" t="s">
        <v>2475</v>
      </c>
      <c r="F2688" s="81" t="s">
        <v>226</v>
      </c>
      <c r="G2688" s="88">
        <v>3.7000000000000002E-3</v>
      </c>
      <c r="H2688" s="85"/>
      <c r="I2688" s="86">
        <v>3187.65</v>
      </c>
      <c r="J2688" s="185">
        <f t="shared" si="256"/>
        <v>980934.67</v>
      </c>
      <c r="K2688" s="189">
        <f t="shared" si="257"/>
        <v>3629.46</v>
      </c>
      <c r="L2688" s="189"/>
      <c r="M2688" s="138"/>
      <c r="N2688" s="138"/>
      <c r="O2688" s="138"/>
      <c r="S2688" s="72"/>
      <c r="T2688" s="72"/>
      <c r="U2688" s="72"/>
      <c r="V2688" s="72"/>
    </row>
    <row r="2689" spans="1:22" s="63" customFormat="1" ht="22.5" x14ac:dyDescent="0.25">
      <c r="A2689" s="87">
        <v>22.59</v>
      </c>
      <c r="B2689" s="81" t="s">
        <v>84</v>
      </c>
      <c r="C2689" s="80">
        <v>34.1</v>
      </c>
      <c r="D2689" s="131" t="s">
        <v>2476</v>
      </c>
      <c r="E2689" s="83" t="s">
        <v>2477</v>
      </c>
      <c r="F2689" s="81" t="s">
        <v>226</v>
      </c>
      <c r="G2689" s="88">
        <v>-3.7000000000000002E-3</v>
      </c>
      <c r="H2689" s="85"/>
      <c r="I2689" s="86">
        <v>-242.69</v>
      </c>
      <c r="J2689" s="185">
        <f t="shared" si="256"/>
        <v>74682.929999999993</v>
      </c>
      <c r="K2689" s="189">
        <f t="shared" si="257"/>
        <v>-276.33</v>
      </c>
      <c r="L2689" s="189"/>
      <c r="M2689" s="138"/>
      <c r="N2689" s="138"/>
      <c r="O2689" s="138"/>
      <c r="S2689" s="72"/>
      <c r="T2689" s="72"/>
      <c r="U2689" s="72"/>
      <c r="V2689" s="72"/>
    </row>
    <row r="2690" spans="1:22" s="63" customFormat="1" ht="22.5" x14ac:dyDescent="0.25">
      <c r="A2690" s="87">
        <v>22.6</v>
      </c>
      <c r="B2690" s="81" t="s">
        <v>84</v>
      </c>
      <c r="C2690" s="80">
        <v>34.200000000000003</v>
      </c>
      <c r="D2690" s="131" t="s">
        <v>2501</v>
      </c>
      <c r="E2690" s="83" t="s">
        <v>2502</v>
      </c>
      <c r="F2690" s="81" t="s">
        <v>219</v>
      </c>
      <c r="G2690" s="82">
        <v>1</v>
      </c>
      <c r="H2690" s="85"/>
      <c r="I2690" s="86">
        <v>253.44</v>
      </c>
      <c r="J2690" s="185">
        <f t="shared" si="256"/>
        <v>288.57</v>
      </c>
      <c r="K2690" s="189">
        <f t="shared" si="257"/>
        <v>288.57</v>
      </c>
      <c r="L2690" s="189"/>
      <c r="M2690" s="138"/>
      <c r="N2690" s="138"/>
      <c r="O2690" s="138"/>
      <c r="S2690" s="72"/>
      <c r="T2690" s="72"/>
      <c r="U2690" s="72"/>
      <c r="V2690" s="72"/>
    </row>
    <row r="2691" spans="1:22" s="63" customFormat="1" ht="22.5" x14ac:dyDescent="0.25">
      <c r="A2691" s="87">
        <v>22.61</v>
      </c>
      <c r="B2691" s="81" t="s">
        <v>84</v>
      </c>
      <c r="C2691" s="80">
        <v>34.299999999999997</v>
      </c>
      <c r="D2691" s="131" t="s">
        <v>2484</v>
      </c>
      <c r="E2691" s="83" t="s">
        <v>2485</v>
      </c>
      <c r="F2691" s="81" t="s">
        <v>219</v>
      </c>
      <c r="G2691" s="82">
        <v>2</v>
      </c>
      <c r="H2691" s="85"/>
      <c r="I2691" s="86">
        <v>537.6</v>
      </c>
      <c r="J2691" s="185">
        <f t="shared" si="256"/>
        <v>306.06</v>
      </c>
      <c r="K2691" s="189">
        <f t="shared" si="257"/>
        <v>612.12</v>
      </c>
      <c r="L2691" s="189"/>
      <c r="M2691" s="138"/>
      <c r="N2691" s="138"/>
      <c r="O2691" s="138"/>
      <c r="S2691" s="72"/>
      <c r="T2691" s="72"/>
      <c r="U2691" s="72"/>
      <c r="V2691" s="72"/>
    </row>
    <row r="2692" spans="1:22" s="63" customFormat="1" ht="22.5" x14ac:dyDescent="0.25">
      <c r="A2692" s="87">
        <v>22.62</v>
      </c>
      <c r="B2692" s="81" t="s">
        <v>84</v>
      </c>
      <c r="C2692" s="80">
        <v>34.4</v>
      </c>
      <c r="D2692" s="131" t="s">
        <v>2503</v>
      </c>
      <c r="E2692" s="83" t="s">
        <v>2504</v>
      </c>
      <c r="F2692" s="81" t="s">
        <v>219</v>
      </c>
      <c r="G2692" s="82">
        <v>1</v>
      </c>
      <c r="H2692" s="85"/>
      <c r="I2692" s="86">
        <v>141.1</v>
      </c>
      <c r="J2692" s="185">
        <f t="shared" si="256"/>
        <v>160.66</v>
      </c>
      <c r="K2692" s="189">
        <f t="shared" si="257"/>
        <v>160.66</v>
      </c>
      <c r="L2692" s="189"/>
      <c r="M2692" s="138"/>
      <c r="N2692" s="138"/>
      <c r="O2692" s="138"/>
      <c r="S2692" s="72"/>
      <c r="T2692" s="72"/>
      <c r="U2692" s="72"/>
      <c r="V2692" s="72"/>
    </row>
    <row r="2693" spans="1:22" s="63" customFormat="1" ht="15" x14ac:dyDescent="0.25">
      <c r="A2693" s="87">
        <v>22.63</v>
      </c>
      <c r="B2693" s="81" t="s">
        <v>84</v>
      </c>
      <c r="C2693" s="82">
        <v>35</v>
      </c>
      <c r="D2693" s="131" t="s">
        <v>2486</v>
      </c>
      <c r="E2693" s="83" t="s">
        <v>2487</v>
      </c>
      <c r="F2693" s="81" t="s">
        <v>219</v>
      </c>
      <c r="G2693" s="82">
        <v>1</v>
      </c>
      <c r="H2693" s="85"/>
      <c r="I2693" s="86">
        <v>1727.26</v>
      </c>
      <c r="J2693" s="185">
        <f t="shared" si="256"/>
        <v>1966.66</v>
      </c>
      <c r="K2693" s="189">
        <f t="shared" si="257"/>
        <v>1966.66</v>
      </c>
      <c r="L2693" s="189"/>
      <c r="M2693" s="138"/>
      <c r="N2693" s="138"/>
      <c r="O2693" s="138"/>
      <c r="S2693" s="72"/>
      <c r="T2693" s="72"/>
      <c r="U2693" s="72"/>
      <c r="V2693" s="72"/>
    </row>
    <row r="2694" spans="1:22" s="63" customFormat="1" ht="33.75" x14ac:dyDescent="0.25">
      <c r="A2694" s="87">
        <v>22.64</v>
      </c>
      <c r="B2694" s="81" t="s">
        <v>84</v>
      </c>
      <c r="C2694" s="80">
        <v>35.1</v>
      </c>
      <c r="D2694" s="131" t="s">
        <v>2505</v>
      </c>
      <c r="E2694" s="83" t="s">
        <v>2489</v>
      </c>
      <c r="F2694" s="81" t="s">
        <v>219</v>
      </c>
      <c r="G2694" s="82">
        <v>1</v>
      </c>
      <c r="H2694" s="85"/>
      <c r="I2694" s="86">
        <v>12057.8</v>
      </c>
      <c r="J2694" s="185">
        <f t="shared" si="256"/>
        <v>13729.01</v>
      </c>
      <c r="K2694" s="189">
        <f t="shared" si="257"/>
        <v>13729.01</v>
      </c>
      <c r="L2694" s="189"/>
      <c r="M2694" s="138"/>
      <c r="N2694" s="138"/>
      <c r="O2694" s="138"/>
      <c r="S2694" s="72"/>
      <c r="T2694" s="72"/>
      <c r="U2694" s="72"/>
      <c r="V2694" s="72"/>
    </row>
    <row r="2695" spans="1:22" s="128" customFormat="1" ht="12.75" x14ac:dyDescent="0.25">
      <c r="A2695" s="237"/>
      <c r="B2695" s="125"/>
      <c r="C2695" s="236"/>
      <c r="D2695" s="77"/>
      <c r="E2695" s="126" t="s">
        <v>3367</v>
      </c>
      <c r="F2695" s="125"/>
      <c r="G2695" s="76"/>
      <c r="H2695" s="127"/>
      <c r="I2695" s="78"/>
      <c r="J2695" s="238"/>
      <c r="K2695" s="239"/>
      <c r="L2695" s="239"/>
      <c r="M2695" s="79"/>
      <c r="N2695" s="79"/>
      <c r="O2695" s="79"/>
      <c r="S2695" s="129"/>
      <c r="T2695" s="129"/>
      <c r="U2695" s="129"/>
      <c r="V2695" s="129"/>
    </row>
    <row r="2696" spans="1:22" s="63" customFormat="1" ht="22.5" x14ac:dyDescent="0.25">
      <c r="A2696" s="87">
        <v>22.65</v>
      </c>
      <c r="B2696" s="81" t="s">
        <v>84</v>
      </c>
      <c r="C2696" s="82">
        <v>36</v>
      </c>
      <c r="D2696" s="131" t="s">
        <v>2459</v>
      </c>
      <c r="E2696" s="83" t="s">
        <v>2460</v>
      </c>
      <c r="F2696" s="81" t="s">
        <v>354</v>
      </c>
      <c r="G2696" s="84">
        <v>5.5E-2</v>
      </c>
      <c r="H2696" s="85"/>
      <c r="I2696" s="86">
        <v>48.85</v>
      </c>
      <c r="J2696" s="185">
        <f>ROUND($I2696/$G2696*$N$11,2)</f>
        <v>1011.28</v>
      </c>
      <c r="K2696" s="189">
        <f>ROUND(G2696*J2696,2)</f>
        <v>55.62</v>
      </c>
      <c r="L2696" s="189"/>
      <c r="M2696" s="138"/>
      <c r="N2696" s="138"/>
      <c r="O2696" s="138"/>
      <c r="S2696" s="72"/>
      <c r="T2696" s="72"/>
      <c r="U2696" s="72"/>
      <c r="V2696" s="72"/>
    </row>
    <row r="2697" spans="1:22" s="63" customFormat="1" ht="22.5" x14ac:dyDescent="0.25">
      <c r="A2697" s="87">
        <v>22.66</v>
      </c>
      <c r="B2697" s="81" t="s">
        <v>84</v>
      </c>
      <c r="C2697" s="82">
        <v>37</v>
      </c>
      <c r="D2697" s="131" t="s">
        <v>2461</v>
      </c>
      <c r="E2697" s="83" t="s">
        <v>2462</v>
      </c>
      <c r="F2697" s="81" t="s">
        <v>354</v>
      </c>
      <c r="G2697" s="84">
        <v>5.5E-2</v>
      </c>
      <c r="H2697" s="85"/>
      <c r="I2697" s="86">
        <v>19.37</v>
      </c>
      <c r="J2697" s="185">
        <f>ROUND($I2697/$G2697*$N$11,2)</f>
        <v>400.99</v>
      </c>
      <c r="K2697" s="189">
        <f>ROUND(G2697*J2697,2)</f>
        <v>22.05</v>
      </c>
      <c r="L2697" s="189"/>
      <c r="M2697" s="138"/>
      <c r="N2697" s="138"/>
      <c r="O2697" s="138"/>
      <c r="S2697" s="72"/>
      <c r="T2697" s="72"/>
      <c r="U2697" s="72"/>
      <c r="V2697" s="72"/>
    </row>
    <row r="2698" spans="1:22" s="63" customFormat="1" ht="22.5" x14ac:dyDescent="0.25">
      <c r="A2698" s="87">
        <v>22.67</v>
      </c>
      <c r="B2698" s="81" t="s">
        <v>84</v>
      </c>
      <c r="C2698" s="82">
        <v>38</v>
      </c>
      <c r="D2698" s="131" t="s">
        <v>2463</v>
      </c>
      <c r="E2698" s="83" t="s">
        <v>2464</v>
      </c>
      <c r="F2698" s="81" t="s">
        <v>2465</v>
      </c>
      <c r="G2698" s="82">
        <v>1</v>
      </c>
      <c r="H2698" s="85"/>
      <c r="I2698" s="86">
        <v>42360.97</v>
      </c>
      <c r="J2698" s="185">
        <f>ROUND($I2698/$G2698*$N$11,2)</f>
        <v>48232.2</v>
      </c>
      <c r="K2698" s="189">
        <f>ROUND(G2698*J2698,2)</f>
        <v>48232.2</v>
      </c>
      <c r="L2698" s="189"/>
      <c r="M2698" s="138"/>
      <c r="N2698" s="138"/>
      <c r="O2698" s="138"/>
      <c r="S2698" s="72"/>
      <c r="T2698" s="72"/>
      <c r="U2698" s="72"/>
      <c r="V2698" s="72"/>
    </row>
    <row r="2699" spans="1:22" s="128" customFormat="1" ht="12.75" x14ac:dyDescent="0.25">
      <c r="A2699" s="237"/>
      <c r="B2699" s="125"/>
      <c r="C2699" s="76"/>
      <c r="D2699" s="77"/>
      <c r="E2699" s="126" t="s">
        <v>3368</v>
      </c>
      <c r="F2699" s="125"/>
      <c r="G2699" s="76"/>
      <c r="H2699" s="127"/>
      <c r="I2699" s="78"/>
      <c r="J2699" s="238"/>
      <c r="K2699" s="239"/>
      <c r="L2699" s="239"/>
      <c r="M2699" s="79"/>
      <c r="N2699" s="79"/>
      <c r="O2699" s="79"/>
      <c r="S2699" s="129"/>
      <c r="T2699" s="129"/>
      <c r="U2699" s="129"/>
      <c r="V2699" s="129"/>
    </row>
    <row r="2700" spans="1:22" s="63" customFormat="1" ht="15" x14ac:dyDescent="0.25">
      <c r="A2700" s="87">
        <v>22.68</v>
      </c>
      <c r="B2700" s="81" t="s">
        <v>84</v>
      </c>
      <c r="C2700" s="82">
        <v>39</v>
      </c>
      <c r="D2700" s="131" t="s">
        <v>2482</v>
      </c>
      <c r="E2700" s="83" t="s">
        <v>2483</v>
      </c>
      <c r="F2700" s="81" t="s">
        <v>219</v>
      </c>
      <c r="G2700" s="82">
        <v>2</v>
      </c>
      <c r="H2700" s="85"/>
      <c r="I2700" s="86">
        <v>2503.81</v>
      </c>
      <c r="J2700" s="185">
        <f>ROUND($I2700/$G2700*$N$11,2)</f>
        <v>1425.42</v>
      </c>
      <c r="K2700" s="189">
        <f>ROUND(G2700*J2700,2)</f>
        <v>2850.84</v>
      </c>
      <c r="L2700" s="189"/>
      <c r="M2700" s="138"/>
      <c r="N2700" s="138"/>
      <c r="O2700" s="138"/>
      <c r="S2700" s="72"/>
      <c r="T2700" s="72"/>
      <c r="U2700" s="72"/>
      <c r="V2700" s="72"/>
    </row>
    <row r="2701" spans="1:22" s="63" customFormat="1" ht="22.5" x14ac:dyDescent="0.25">
      <c r="A2701" s="87">
        <v>22.69</v>
      </c>
      <c r="B2701" s="81" t="s">
        <v>84</v>
      </c>
      <c r="C2701" s="80">
        <v>39.1</v>
      </c>
      <c r="D2701" s="131" t="s">
        <v>2484</v>
      </c>
      <c r="E2701" s="83" t="s">
        <v>2485</v>
      </c>
      <c r="F2701" s="81" t="s">
        <v>219</v>
      </c>
      <c r="G2701" s="82">
        <v>2</v>
      </c>
      <c r="H2701" s="85"/>
      <c r="I2701" s="86">
        <v>537.6</v>
      </c>
      <c r="J2701" s="185">
        <f>ROUND($I2701/$G2701*$N$11,2)</f>
        <v>306.06</v>
      </c>
      <c r="K2701" s="189">
        <f>ROUND(G2701*J2701,2)</f>
        <v>612.12</v>
      </c>
      <c r="L2701" s="189"/>
      <c r="M2701" s="138"/>
      <c r="N2701" s="138"/>
      <c r="O2701" s="138"/>
      <c r="S2701" s="72"/>
      <c r="T2701" s="72"/>
      <c r="U2701" s="72"/>
      <c r="V2701" s="72"/>
    </row>
    <row r="2702" spans="1:22" s="63" customFormat="1" ht="15" x14ac:dyDescent="0.25">
      <c r="A2702" s="87">
        <v>22.7</v>
      </c>
      <c r="B2702" s="81" t="s">
        <v>84</v>
      </c>
      <c r="C2702" s="82">
        <v>40</v>
      </c>
      <c r="D2702" s="131" t="s">
        <v>2486</v>
      </c>
      <c r="E2702" s="83" t="s">
        <v>2487</v>
      </c>
      <c r="F2702" s="81" t="s">
        <v>219</v>
      </c>
      <c r="G2702" s="82">
        <v>1</v>
      </c>
      <c r="H2702" s="85"/>
      <c r="I2702" s="86">
        <v>1727.26</v>
      </c>
      <c r="J2702" s="185">
        <f>ROUND($I2702/$G2702*$N$11,2)</f>
        <v>1966.66</v>
      </c>
      <c r="K2702" s="189">
        <f>ROUND(G2702*J2702,2)</f>
        <v>1966.66</v>
      </c>
      <c r="L2702" s="189"/>
      <c r="M2702" s="138"/>
      <c r="N2702" s="138"/>
      <c r="O2702" s="138"/>
      <c r="S2702" s="72"/>
      <c r="T2702" s="72"/>
      <c r="U2702" s="72"/>
      <c r="V2702" s="72"/>
    </row>
    <row r="2703" spans="1:22" s="63" customFormat="1" ht="22.5" x14ac:dyDescent="0.25">
      <c r="A2703" s="87">
        <v>22.71</v>
      </c>
      <c r="B2703" s="81" t="s">
        <v>84</v>
      </c>
      <c r="C2703" s="80">
        <v>40.1</v>
      </c>
      <c r="D2703" s="131" t="s">
        <v>2506</v>
      </c>
      <c r="E2703" s="83" t="s">
        <v>2507</v>
      </c>
      <c r="F2703" s="81" t="s">
        <v>219</v>
      </c>
      <c r="G2703" s="82">
        <v>1</v>
      </c>
      <c r="H2703" s="85"/>
      <c r="I2703" s="86">
        <v>2512.33</v>
      </c>
      <c r="J2703" s="185">
        <f>ROUND($I2703/$G2703*$N$11,2)</f>
        <v>2860.54</v>
      </c>
      <c r="K2703" s="189">
        <f>ROUND(G2703*J2703,2)</f>
        <v>2860.54</v>
      </c>
      <c r="L2703" s="189"/>
      <c r="M2703" s="138"/>
      <c r="N2703" s="138"/>
      <c r="O2703" s="138"/>
      <c r="S2703" s="72"/>
      <c r="T2703" s="72"/>
      <c r="U2703" s="72"/>
      <c r="V2703" s="72"/>
    </row>
    <row r="2704" spans="1:22" s="128" customFormat="1" ht="12.75" x14ac:dyDescent="0.25">
      <c r="A2704" s="237"/>
      <c r="B2704" s="125"/>
      <c r="C2704" s="236"/>
      <c r="D2704" s="77"/>
      <c r="E2704" s="126" t="s">
        <v>3369</v>
      </c>
      <c r="F2704" s="125"/>
      <c r="G2704" s="76"/>
      <c r="H2704" s="127"/>
      <c r="I2704" s="78"/>
      <c r="J2704" s="238"/>
      <c r="K2704" s="239"/>
      <c r="L2704" s="239"/>
      <c r="M2704" s="79"/>
      <c r="N2704" s="79"/>
      <c r="O2704" s="79"/>
      <c r="S2704" s="129"/>
      <c r="T2704" s="129"/>
      <c r="U2704" s="129"/>
      <c r="V2704" s="129"/>
    </row>
    <row r="2705" spans="1:22" s="63" customFormat="1" ht="15" x14ac:dyDescent="0.25">
      <c r="A2705" s="87">
        <v>22.72</v>
      </c>
      <c r="B2705" s="81" t="s">
        <v>84</v>
      </c>
      <c r="C2705" s="82">
        <v>41</v>
      </c>
      <c r="D2705" s="131" t="s">
        <v>2508</v>
      </c>
      <c r="E2705" s="83" t="s">
        <v>2509</v>
      </c>
      <c r="F2705" s="81" t="s">
        <v>226</v>
      </c>
      <c r="G2705" s="84">
        <v>0.11600000000000001</v>
      </c>
      <c r="H2705" s="85"/>
      <c r="I2705" s="86">
        <v>3322.72</v>
      </c>
      <c r="J2705" s="185">
        <f>ROUND($I2705/$G2705*$N$11,2)</f>
        <v>32614.22</v>
      </c>
      <c r="K2705" s="189">
        <f>ROUND(G2705*J2705,2)</f>
        <v>3783.25</v>
      </c>
      <c r="L2705" s="189"/>
      <c r="M2705" s="138"/>
      <c r="N2705" s="138"/>
      <c r="O2705" s="138"/>
      <c r="S2705" s="72"/>
      <c r="T2705" s="72"/>
      <c r="U2705" s="72"/>
      <c r="V2705" s="72"/>
    </row>
    <row r="2706" spans="1:22" s="63" customFormat="1" ht="22.5" x14ac:dyDescent="0.25">
      <c r="A2706" s="87">
        <v>22.73</v>
      </c>
      <c r="B2706" s="81" t="s">
        <v>84</v>
      </c>
      <c r="C2706" s="80">
        <v>41.1</v>
      </c>
      <c r="D2706" s="131" t="s">
        <v>2510</v>
      </c>
      <c r="E2706" s="83" t="s">
        <v>2511</v>
      </c>
      <c r="F2706" s="81" t="s">
        <v>226</v>
      </c>
      <c r="G2706" s="88">
        <v>0.1106</v>
      </c>
      <c r="H2706" s="85"/>
      <c r="I2706" s="86">
        <v>4910.6400000000003</v>
      </c>
      <c r="J2706" s="185">
        <f>ROUND($I2706/$G2706*$N$11,2)</f>
        <v>50553.84</v>
      </c>
      <c r="K2706" s="189">
        <f>ROUND(G2706*J2706,2)</f>
        <v>5591.25</v>
      </c>
      <c r="L2706" s="189"/>
      <c r="M2706" s="138"/>
      <c r="N2706" s="138"/>
      <c r="O2706" s="138"/>
      <c r="S2706" s="72"/>
      <c r="T2706" s="72"/>
      <c r="U2706" s="72"/>
      <c r="V2706" s="72"/>
    </row>
    <row r="2707" spans="1:22" s="63" customFormat="1" ht="22.5" x14ac:dyDescent="0.25">
      <c r="A2707" s="87">
        <v>22.74</v>
      </c>
      <c r="B2707" s="81" t="s">
        <v>84</v>
      </c>
      <c r="C2707" s="80">
        <v>41.2</v>
      </c>
      <c r="D2707" s="131" t="s">
        <v>2512</v>
      </c>
      <c r="E2707" s="83" t="s">
        <v>2513</v>
      </c>
      <c r="F2707" s="81" t="s">
        <v>226</v>
      </c>
      <c r="G2707" s="84">
        <v>5.0000000000000001E-3</v>
      </c>
      <c r="H2707" s="85"/>
      <c r="I2707" s="86">
        <v>297.83999999999997</v>
      </c>
      <c r="J2707" s="185">
        <f>ROUND($I2707/$G2707*$N$11,2)</f>
        <v>67824.12</v>
      </c>
      <c r="K2707" s="189">
        <f>ROUND(G2707*J2707,2)</f>
        <v>339.12</v>
      </c>
      <c r="L2707" s="189"/>
      <c r="M2707" s="138"/>
      <c r="N2707" s="138"/>
      <c r="O2707" s="138"/>
      <c r="S2707" s="72"/>
      <c r="T2707" s="72"/>
      <c r="U2707" s="72"/>
      <c r="V2707" s="72"/>
    </row>
    <row r="2708" spans="1:22" s="63" customFormat="1" ht="15" x14ac:dyDescent="0.25">
      <c r="A2708" s="87">
        <v>22.75</v>
      </c>
      <c r="B2708" s="81" t="s">
        <v>84</v>
      </c>
      <c r="C2708" s="82">
        <v>42</v>
      </c>
      <c r="D2708" s="131" t="s">
        <v>2514</v>
      </c>
      <c r="E2708" s="83" t="s">
        <v>2515</v>
      </c>
      <c r="F2708" s="81" t="s">
        <v>207</v>
      </c>
      <c r="G2708" s="84">
        <v>1E-3</v>
      </c>
      <c r="H2708" s="85"/>
      <c r="I2708" s="86">
        <v>15.25</v>
      </c>
      <c r="J2708" s="185">
        <f>ROUND($I2708/$G2708*$N$11,2)</f>
        <v>17363.650000000001</v>
      </c>
      <c r="K2708" s="189">
        <f>ROUND(G2708*J2708,2)</f>
        <v>17.36</v>
      </c>
      <c r="L2708" s="189"/>
      <c r="M2708" s="138"/>
      <c r="N2708" s="138"/>
      <c r="O2708" s="138"/>
      <c r="S2708" s="72"/>
      <c r="T2708" s="72"/>
      <c r="U2708" s="72"/>
      <c r="V2708" s="72"/>
    </row>
    <row r="2709" spans="1:22" s="63" customFormat="1" ht="15" x14ac:dyDescent="0.25">
      <c r="A2709" s="87">
        <v>22.76</v>
      </c>
      <c r="B2709" s="81" t="s">
        <v>84</v>
      </c>
      <c r="C2709" s="82">
        <v>43</v>
      </c>
      <c r="D2709" s="131" t="s">
        <v>2516</v>
      </c>
      <c r="E2709" s="83" t="s">
        <v>2517</v>
      </c>
      <c r="F2709" s="81" t="s">
        <v>207</v>
      </c>
      <c r="G2709" s="84">
        <v>1E-3</v>
      </c>
      <c r="H2709" s="85"/>
      <c r="I2709" s="86">
        <v>15.02</v>
      </c>
      <c r="J2709" s="185">
        <f>ROUND($I2709/$G2709*$N$11,2)</f>
        <v>17101.77</v>
      </c>
      <c r="K2709" s="189">
        <f>ROUND(G2709*J2709,2)</f>
        <v>17.100000000000001</v>
      </c>
      <c r="L2709" s="189"/>
      <c r="M2709" s="138"/>
      <c r="N2709" s="138"/>
      <c r="O2709" s="138"/>
      <c r="S2709" s="72"/>
      <c r="T2709" s="72"/>
      <c r="U2709" s="72"/>
      <c r="V2709" s="72"/>
    </row>
    <row r="2710" spans="1:22" s="128" customFormat="1" ht="12.75" x14ac:dyDescent="0.25">
      <c r="A2710" s="237"/>
      <c r="B2710" s="125"/>
      <c r="C2710" s="76"/>
      <c r="D2710" s="77"/>
      <c r="E2710" s="126" t="s">
        <v>3370</v>
      </c>
      <c r="F2710" s="125"/>
      <c r="G2710" s="242"/>
      <c r="H2710" s="127"/>
      <c r="I2710" s="78"/>
      <c r="J2710" s="238"/>
      <c r="K2710" s="239"/>
      <c r="L2710" s="239"/>
      <c r="M2710" s="79"/>
      <c r="N2710" s="79"/>
      <c r="O2710" s="79"/>
      <c r="S2710" s="129"/>
      <c r="T2710" s="129"/>
      <c r="U2710" s="129"/>
      <c r="V2710" s="129"/>
    </row>
    <row r="2711" spans="1:22" s="63" customFormat="1" ht="22.5" x14ac:dyDescent="0.25">
      <c r="A2711" s="87">
        <v>22.77</v>
      </c>
      <c r="B2711" s="81" t="s">
        <v>84</v>
      </c>
      <c r="C2711" s="82">
        <v>44</v>
      </c>
      <c r="D2711" s="131" t="s">
        <v>2518</v>
      </c>
      <c r="E2711" s="83" t="s">
        <v>2519</v>
      </c>
      <c r="F2711" s="81" t="s">
        <v>219</v>
      </c>
      <c r="G2711" s="82">
        <v>1</v>
      </c>
      <c r="H2711" s="85"/>
      <c r="I2711" s="86">
        <v>24964.41</v>
      </c>
      <c r="J2711" s="185">
        <f>ROUND($I2711/$G2711*$N$11,2)</f>
        <v>28424.48</v>
      </c>
      <c r="K2711" s="189">
        <f>ROUND(G2711*J2711,2)</f>
        <v>28424.48</v>
      </c>
      <c r="L2711" s="189"/>
      <c r="M2711" s="138"/>
      <c r="N2711" s="138"/>
      <c r="O2711" s="138"/>
      <c r="S2711" s="72"/>
      <c r="T2711" s="72"/>
      <c r="U2711" s="72"/>
      <c r="V2711" s="72"/>
    </row>
    <row r="2712" spans="1:22" s="63" customFormat="1" ht="45" x14ac:dyDescent="0.25">
      <c r="A2712" s="101">
        <v>22.78</v>
      </c>
      <c r="B2712" s="102" t="s">
        <v>84</v>
      </c>
      <c r="C2712" s="103">
        <v>44.1</v>
      </c>
      <c r="D2712" s="167" t="s">
        <v>2520</v>
      </c>
      <c r="E2712" s="104" t="s">
        <v>4015</v>
      </c>
      <c r="F2712" s="102" t="s">
        <v>219</v>
      </c>
      <c r="G2712" s="105">
        <v>1</v>
      </c>
      <c r="H2712" s="106"/>
      <c r="I2712" s="107">
        <v>657639.68000000005</v>
      </c>
      <c r="J2712" s="192">
        <f>ROUND($I2712/$G2712*$N$12,2)</f>
        <v>735569.98</v>
      </c>
      <c r="K2712" s="193">
        <f>ROUND(G2712*J2712,2)</f>
        <v>735569.98</v>
      </c>
      <c r="L2712" s="193"/>
      <c r="M2712" s="138"/>
      <c r="N2712" s="138"/>
      <c r="O2712" s="138"/>
      <c r="S2712" s="72"/>
      <c r="T2712" s="72"/>
      <c r="U2712" s="72"/>
      <c r="V2712" s="72"/>
    </row>
    <row r="2713" spans="1:22" s="275" customFormat="1" ht="12.75" x14ac:dyDescent="0.25">
      <c r="A2713" s="273"/>
      <c r="B2713" s="263"/>
      <c r="C2713" s="262"/>
      <c r="D2713" s="219"/>
      <c r="E2713" s="248" t="s">
        <v>3371</v>
      </c>
      <c r="F2713" s="263"/>
      <c r="G2713" s="216"/>
      <c r="H2713" s="264"/>
      <c r="I2713" s="221"/>
      <c r="J2713" s="265"/>
      <c r="K2713" s="266"/>
      <c r="L2713" s="266"/>
      <c r="M2713" s="274"/>
      <c r="N2713" s="274"/>
      <c r="O2713" s="274"/>
      <c r="S2713" s="276"/>
      <c r="T2713" s="276"/>
      <c r="U2713" s="276"/>
      <c r="V2713" s="276"/>
    </row>
    <row r="2714" spans="1:22" s="63" customFormat="1" ht="15" x14ac:dyDescent="0.25">
      <c r="A2714" s="87">
        <v>22.79</v>
      </c>
      <c r="B2714" s="81" t="s">
        <v>84</v>
      </c>
      <c r="C2714" s="82">
        <v>45</v>
      </c>
      <c r="D2714" s="131" t="s">
        <v>2374</v>
      </c>
      <c r="E2714" s="83" t="s">
        <v>2375</v>
      </c>
      <c r="F2714" s="81" t="s">
        <v>354</v>
      </c>
      <c r="G2714" s="80">
        <v>0.2</v>
      </c>
      <c r="H2714" s="85"/>
      <c r="I2714" s="86">
        <v>4168.09</v>
      </c>
      <c r="J2714" s="185">
        <f>ROUND($I2714/$G2714*$N$11,2)</f>
        <v>23728.94</v>
      </c>
      <c r="K2714" s="189">
        <f>ROUND(G2714*J2714,2)</f>
        <v>4745.79</v>
      </c>
      <c r="L2714" s="189"/>
      <c r="M2714" s="138"/>
      <c r="N2714" s="138"/>
      <c r="O2714" s="138"/>
      <c r="S2714" s="72"/>
      <c r="T2714" s="72"/>
      <c r="U2714" s="72"/>
      <c r="V2714" s="72"/>
    </row>
    <row r="2715" spans="1:22" s="63" customFormat="1" ht="22.5" x14ac:dyDescent="0.25">
      <c r="A2715" s="87">
        <v>22.8</v>
      </c>
      <c r="B2715" s="81" t="s">
        <v>84</v>
      </c>
      <c r="C2715" s="80">
        <v>45.1</v>
      </c>
      <c r="D2715" s="131" t="s">
        <v>2521</v>
      </c>
      <c r="E2715" s="83" t="s">
        <v>2522</v>
      </c>
      <c r="F2715" s="81" t="s">
        <v>226</v>
      </c>
      <c r="G2715" s="89">
        <v>2.512E-2</v>
      </c>
      <c r="H2715" s="85"/>
      <c r="I2715" s="86">
        <v>1334.66</v>
      </c>
      <c r="J2715" s="185">
        <f>ROUND($I2715/$G2715*$N$11,2)</f>
        <v>60495.38</v>
      </c>
      <c r="K2715" s="189">
        <f>ROUND(G2715*J2715,2)</f>
        <v>1519.64</v>
      </c>
      <c r="L2715" s="189"/>
      <c r="M2715" s="138"/>
      <c r="N2715" s="138"/>
      <c r="O2715" s="138"/>
      <c r="S2715" s="72"/>
      <c r="T2715" s="72"/>
      <c r="U2715" s="72"/>
      <c r="V2715" s="72"/>
    </row>
    <row r="2716" spans="1:22" s="63" customFormat="1" ht="15" x14ac:dyDescent="0.25">
      <c r="A2716" s="87">
        <v>22.81</v>
      </c>
      <c r="B2716" s="81" t="s">
        <v>84</v>
      </c>
      <c r="C2716" s="82">
        <v>46</v>
      </c>
      <c r="D2716" s="131" t="s">
        <v>2376</v>
      </c>
      <c r="E2716" s="83" t="s">
        <v>2377</v>
      </c>
      <c r="F2716" s="81" t="s">
        <v>566</v>
      </c>
      <c r="G2716" s="80">
        <v>0.7</v>
      </c>
      <c r="H2716" s="85"/>
      <c r="I2716" s="86">
        <v>7578.03</v>
      </c>
      <c r="J2716" s="185">
        <f>ROUND($I2716/$G2716*$N$11,2)</f>
        <v>12326.21</v>
      </c>
      <c r="K2716" s="189">
        <f>ROUND(G2716*J2716,2)</f>
        <v>8628.35</v>
      </c>
      <c r="L2716" s="189"/>
      <c r="M2716" s="138"/>
      <c r="N2716" s="138"/>
      <c r="O2716" s="138"/>
      <c r="S2716" s="72"/>
      <c r="T2716" s="72"/>
      <c r="U2716" s="72"/>
      <c r="V2716" s="72"/>
    </row>
    <row r="2717" spans="1:22" s="63" customFormat="1" ht="22.5" x14ac:dyDescent="0.25">
      <c r="A2717" s="87">
        <v>22.82</v>
      </c>
      <c r="B2717" s="81" t="s">
        <v>84</v>
      </c>
      <c r="C2717" s="80">
        <v>46.1</v>
      </c>
      <c r="D2717" s="131" t="s">
        <v>2523</v>
      </c>
      <c r="E2717" s="83" t="s">
        <v>2524</v>
      </c>
      <c r="F2717" s="81" t="s">
        <v>226</v>
      </c>
      <c r="G2717" s="89">
        <v>3.3180000000000001E-2</v>
      </c>
      <c r="H2717" s="85"/>
      <c r="I2717" s="86">
        <v>1364.15</v>
      </c>
      <c r="J2717" s="185">
        <f>ROUND($I2717/$G2717*$N$11,2)</f>
        <v>46811.97</v>
      </c>
      <c r="K2717" s="189">
        <f>ROUND(G2717*J2717,2)</f>
        <v>1553.22</v>
      </c>
      <c r="L2717" s="189"/>
      <c r="M2717" s="138"/>
      <c r="N2717" s="138"/>
      <c r="O2717" s="138"/>
      <c r="S2717" s="72"/>
      <c r="T2717" s="72"/>
      <c r="U2717" s="72"/>
      <c r="V2717" s="72"/>
    </row>
    <row r="2718" spans="1:22" s="128" customFormat="1" ht="12.75" x14ac:dyDescent="0.25">
      <c r="A2718" s="237"/>
      <c r="B2718" s="125"/>
      <c r="C2718" s="236"/>
      <c r="D2718" s="77"/>
      <c r="E2718" s="126" t="s">
        <v>3372</v>
      </c>
      <c r="F2718" s="125"/>
      <c r="G2718" s="243"/>
      <c r="H2718" s="127"/>
      <c r="I2718" s="78"/>
      <c r="J2718" s="238"/>
      <c r="K2718" s="239"/>
      <c r="L2718" s="239"/>
      <c r="M2718" s="79"/>
      <c r="N2718" s="79"/>
      <c r="O2718" s="79"/>
      <c r="S2718" s="129"/>
      <c r="T2718" s="129"/>
      <c r="U2718" s="129"/>
      <c r="V2718" s="129"/>
    </row>
    <row r="2719" spans="1:22" s="63" customFormat="1" ht="33.75" x14ac:dyDescent="0.25">
      <c r="A2719" s="87">
        <v>22.83</v>
      </c>
      <c r="B2719" s="81" t="s">
        <v>84</v>
      </c>
      <c r="C2719" s="82">
        <v>47</v>
      </c>
      <c r="D2719" s="131" t="s">
        <v>2420</v>
      </c>
      <c r="E2719" s="83" t="s">
        <v>2421</v>
      </c>
      <c r="F2719" s="81" t="s">
        <v>193</v>
      </c>
      <c r="G2719" s="89">
        <v>1.4400000000000001E-3</v>
      </c>
      <c r="H2719" s="85"/>
      <c r="I2719" s="86">
        <v>104.25</v>
      </c>
      <c r="J2719" s="185">
        <f t="shared" ref="J2719:J2729" si="258">ROUND($I2719/$G2719*$N$11,2)</f>
        <v>82429.899999999994</v>
      </c>
      <c r="K2719" s="189">
        <f t="shared" ref="K2719:K2729" si="259">ROUND(G2719*J2719,2)</f>
        <v>118.7</v>
      </c>
      <c r="L2719" s="189"/>
      <c r="M2719" s="138"/>
      <c r="N2719" s="138"/>
      <c r="O2719" s="138"/>
      <c r="S2719" s="72"/>
      <c r="T2719" s="72"/>
      <c r="U2719" s="72"/>
      <c r="V2719" s="72"/>
    </row>
    <row r="2720" spans="1:22" s="63" customFormat="1" ht="22.5" x14ac:dyDescent="0.25">
      <c r="A2720" s="87">
        <v>22.84</v>
      </c>
      <c r="B2720" s="81" t="s">
        <v>84</v>
      </c>
      <c r="C2720" s="82">
        <v>48</v>
      </c>
      <c r="D2720" s="131" t="s">
        <v>2422</v>
      </c>
      <c r="E2720" s="83" t="s">
        <v>2423</v>
      </c>
      <c r="F2720" s="81" t="s">
        <v>2321</v>
      </c>
      <c r="G2720" s="87">
        <v>2.52</v>
      </c>
      <c r="H2720" s="85"/>
      <c r="I2720" s="86">
        <v>101.03</v>
      </c>
      <c r="J2720" s="185">
        <f t="shared" si="258"/>
        <v>45.65</v>
      </c>
      <c r="K2720" s="189">
        <f t="shared" si="259"/>
        <v>115.04</v>
      </c>
      <c r="L2720" s="189"/>
      <c r="M2720" s="138"/>
      <c r="N2720" s="138"/>
      <c r="O2720" s="138"/>
      <c r="S2720" s="72"/>
      <c r="T2720" s="72"/>
      <c r="U2720" s="72"/>
      <c r="V2720" s="72"/>
    </row>
    <row r="2721" spans="1:22" s="63" customFormat="1" ht="22.5" x14ac:dyDescent="0.25">
      <c r="A2721" s="87">
        <v>22.85</v>
      </c>
      <c r="B2721" s="81" t="s">
        <v>84</v>
      </c>
      <c r="C2721" s="82">
        <v>49</v>
      </c>
      <c r="D2721" s="131" t="s">
        <v>2525</v>
      </c>
      <c r="E2721" s="83" t="s">
        <v>2526</v>
      </c>
      <c r="F2721" s="81" t="s">
        <v>196</v>
      </c>
      <c r="G2721" s="88">
        <v>8.6999999999999994E-3</v>
      </c>
      <c r="H2721" s="85"/>
      <c r="I2721" s="86">
        <v>7325.53</v>
      </c>
      <c r="J2721" s="185">
        <f t="shared" si="258"/>
        <v>958718.21</v>
      </c>
      <c r="K2721" s="189">
        <f t="shared" si="259"/>
        <v>8340.85</v>
      </c>
      <c r="L2721" s="189"/>
      <c r="M2721" s="138"/>
      <c r="N2721" s="138"/>
      <c r="O2721" s="138"/>
      <c r="S2721" s="72"/>
      <c r="T2721" s="72"/>
      <c r="U2721" s="72"/>
      <c r="V2721" s="72"/>
    </row>
    <row r="2722" spans="1:22" s="63" customFormat="1" ht="22.5" x14ac:dyDescent="0.25">
      <c r="A2722" s="87">
        <v>22.86</v>
      </c>
      <c r="B2722" s="81" t="s">
        <v>84</v>
      </c>
      <c r="C2722" s="80">
        <v>49.1</v>
      </c>
      <c r="D2722" s="131" t="s">
        <v>2527</v>
      </c>
      <c r="E2722" s="83" t="s">
        <v>2528</v>
      </c>
      <c r="F2722" s="81" t="s">
        <v>205</v>
      </c>
      <c r="G2722" s="88">
        <v>0.8831</v>
      </c>
      <c r="H2722" s="85"/>
      <c r="I2722" s="86">
        <v>5201.28</v>
      </c>
      <c r="J2722" s="185">
        <f t="shared" si="258"/>
        <v>6706.12</v>
      </c>
      <c r="K2722" s="189">
        <f t="shared" si="259"/>
        <v>5922.17</v>
      </c>
      <c r="L2722" s="189"/>
      <c r="M2722" s="138"/>
      <c r="N2722" s="138"/>
      <c r="O2722" s="138"/>
      <c r="S2722" s="72"/>
      <c r="T2722" s="72"/>
      <c r="U2722" s="72"/>
      <c r="V2722" s="72"/>
    </row>
    <row r="2723" spans="1:22" s="63" customFormat="1" ht="22.5" x14ac:dyDescent="0.25">
      <c r="A2723" s="87">
        <v>22.87</v>
      </c>
      <c r="B2723" s="81" t="s">
        <v>84</v>
      </c>
      <c r="C2723" s="80">
        <v>49.2</v>
      </c>
      <c r="D2723" s="131" t="s">
        <v>242</v>
      </c>
      <c r="E2723" s="83" t="s">
        <v>243</v>
      </c>
      <c r="F2723" s="81" t="s">
        <v>226</v>
      </c>
      <c r="G2723" s="88">
        <v>1.12E-2</v>
      </c>
      <c r="H2723" s="85"/>
      <c r="I2723" s="86">
        <v>533.78</v>
      </c>
      <c r="J2723" s="185">
        <f t="shared" si="258"/>
        <v>54264.46</v>
      </c>
      <c r="K2723" s="189">
        <f t="shared" si="259"/>
        <v>607.76</v>
      </c>
      <c r="L2723" s="189"/>
      <c r="M2723" s="138"/>
      <c r="N2723" s="138"/>
      <c r="O2723" s="138"/>
      <c r="S2723" s="72"/>
      <c r="T2723" s="72"/>
      <c r="U2723" s="72"/>
      <c r="V2723" s="72"/>
    </row>
    <row r="2724" spans="1:22" s="63" customFormat="1" ht="15" x14ac:dyDescent="0.25">
      <c r="A2724" s="87">
        <v>22.88</v>
      </c>
      <c r="B2724" s="81" t="s">
        <v>84</v>
      </c>
      <c r="C2724" s="82">
        <v>50</v>
      </c>
      <c r="D2724" s="131" t="s">
        <v>2529</v>
      </c>
      <c r="E2724" s="83" t="s">
        <v>2530</v>
      </c>
      <c r="F2724" s="81" t="s">
        <v>226</v>
      </c>
      <c r="G2724" s="88">
        <v>8.9999999999999998E-4</v>
      </c>
      <c r="H2724" s="85"/>
      <c r="I2724" s="86">
        <v>276.17</v>
      </c>
      <c r="J2724" s="185">
        <f t="shared" si="258"/>
        <v>349385.74</v>
      </c>
      <c r="K2724" s="189">
        <f t="shared" si="259"/>
        <v>314.45</v>
      </c>
      <c r="L2724" s="189"/>
      <c r="M2724" s="138"/>
      <c r="N2724" s="138"/>
      <c r="O2724" s="138"/>
      <c r="S2724" s="72"/>
      <c r="T2724" s="72"/>
      <c r="U2724" s="72"/>
      <c r="V2724" s="72"/>
    </row>
    <row r="2725" spans="1:22" s="63" customFormat="1" ht="22.5" x14ac:dyDescent="0.25">
      <c r="A2725" s="87">
        <v>22.89</v>
      </c>
      <c r="B2725" s="81" t="s">
        <v>84</v>
      </c>
      <c r="C2725" s="80">
        <v>50.1</v>
      </c>
      <c r="D2725" s="131" t="s">
        <v>2531</v>
      </c>
      <c r="E2725" s="83" t="s">
        <v>2532</v>
      </c>
      <c r="F2725" s="81" t="s">
        <v>226</v>
      </c>
      <c r="G2725" s="88">
        <v>8.9999999999999998E-4</v>
      </c>
      <c r="H2725" s="85"/>
      <c r="I2725" s="86">
        <v>41.29</v>
      </c>
      <c r="J2725" s="185">
        <f t="shared" si="258"/>
        <v>52236.44</v>
      </c>
      <c r="K2725" s="189">
        <f t="shared" si="259"/>
        <v>47.01</v>
      </c>
      <c r="L2725" s="189"/>
      <c r="M2725" s="138"/>
      <c r="N2725" s="138"/>
      <c r="O2725" s="138"/>
      <c r="S2725" s="72"/>
      <c r="T2725" s="72"/>
      <c r="U2725" s="72"/>
      <c r="V2725" s="72"/>
    </row>
    <row r="2726" spans="1:22" s="63" customFormat="1" ht="15" x14ac:dyDescent="0.25">
      <c r="A2726" s="87">
        <v>22.9</v>
      </c>
      <c r="B2726" s="81" t="s">
        <v>84</v>
      </c>
      <c r="C2726" s="82">
        <v>51</v>
      </c>
      <c r="D2726" s="131" t="s">
        <v>2508</v>
      </c>
      <c r="E2726" s="83" t="s">
        <v>2533</v>
      </c>
      <c r="F2726" s="81" t="s">
        <v>226</v>
      </c>
      <c r="G2726" s="88">
        <v>7.4099999999999999E-2</v>
      </c>
      <c r="H2726" s="85"/>
      <c r="I2726" s="86">
        <v>2122.65</v>
      </c>
      <c r="J2726" s="185">
        <f t="shared" si="258"/>
        <v>32616.05</v>
      </c>
      <c r="K2726" s="189">
        <f t="shared" si="259"/>
        <v>2416.85</v>
      </c>
      <c r="L2726" s="189"/>
      <c r="M2726" s="138"/>
      <c r="N2726" s="138"/>
      <c r="O2726" s="138"/>
      <c r="S2726" s="72"/>
      <c r="T2726" s="72"/>
      <c r="U2726" s="72"/>
      <c r="V2726" s="72"/>
    </row>
    <row r="2727" spans="1:22" s="63" customFormat="1" ht="22.5" x14ac:dyDescent="0.25">
      <c r="A2727" s="87">
        <v>22.91</v>
      </c>
      <c r="B2727" s="81" t="s">
        <v>84</v>
      </c>
      <c r="C2727" s="80">
        <v>51.1</v>
      </c>
      <c r="D2727" s="131" t="s">
        <v>2534</v>
      </c>
      <c r="E2727" s="83" t="s">
        <v>2535</v>
      </c>
      <c r="F2727" s="81" t="s">
        <v>226</v>
      </c>
      <c r="G2727" s="88">
        <v>7.4099999999999999E-2</v>
      </c>
      <c r="H2727" s="85"/>
      <c r="I2727" s="86">
        <v>6695.79</v>
      </c>
      <c r="J2727" s="185">
        <f t="shared" si="258"/>
        <v>102885.65</v>
      </c>
      <c r="K2727" s="189">
        <f t="shared" si="259"/>
        <v>7623.83</v>
      </c>
      <c r="L2727" s="189"/>
      <c r="M2727" s="138"/>
      <c r="N2727" s="138"/>
      <c r="O2727" s="138"/>
      <c r="S2727" s="72"/>
      <c r="T2727" s="72"/>
      <c r="U2727" s="72"/>
      <c r="V2727" s="72"/>
    </row>
    <row r="2728" spans="1:22" s="63" customFormat="1" ht="15" x14ac:dyDescent="0.25">
      <c r="A2728" s="87">
        <v>22.92</v>
      </c>
      <c r="B2728" s="81" t="s">
        <v>84</v>
      </c>
      <c r="C2728" s="82">
        <v>52</v>
      </c>
      <c r="D2728" s="131" t="s">
        <v>341</v>
      </c>
      <c r="E2728" s="83" t="s">
        <v>342</v>
      </c>
      <c r="F2728" s="81" t="s">
        <v>207</v>
      </c>
      <c r="G2728" s="84">
        <v>2.1000000000000001E-2</v>
      </c>
      <c r="H2728" s="85"/>
      <c r="I2728" s="86">
        <v>313.52</v>
      </c>
      <c r="J2728" s="185">
        <f t="shared" si="258"/>
        <v>16998.759999999998</v>
      </c>
      <c r="K2728" s="189">
        <f t="shared" si="259"/>
        <v>356.97</v>
      </c>
      <c r="L2728" s="189"/>
      <c r="M2728" s="138"/>
      <c r="N2728" s="138"/>
      <c r="O2728" s="138"/>
      <c r="S2728" s="72"/>
      <c r="T2728" s="72"/>
      <c r="U2728" s="72"/>
      <c r="V2728" s="72"/>
    </row>
    <row r="2729" spans="1:22" s="63" customFormat="1" ht="15" x14ac:dyDescent="0.25">
      <c r="A2729" s="87">
        <v>22.93</v>
      </c>
      <c r="B2729" s="81" t="s">
        <v>84</v>
      </c>
      <c r="C2729" s="82">
        <v>53</v>
      </c>
      <c r="D2729" s="131" t="s">
        <v>315</v>
      </c>
      <c r="E2729" s="83" t="s">
        <v>316</v>
      </c>
      <c r="F2729" s="81" t="s">
        <v>207</v>
      </c>
      <c r="G2729" s="84">
        <v>2.1000000000000001E-2</v>
      </c>
      <c r="H2729" s="85"/>
      <c r="I2729" s="86">
        <v>282.95999999999998</v>
      </c>
      <c r="J2729" s="185">
        <f t="shared" si="258"/>
        <v>15341.82</v>
      </c>
      <c r="K2729" s="189">
        <f t="shared" si="259"/>
        <v>322.18</v>
      </c>
      <c r="L2729" s="189"/>
      <c r="M2729" s="138"/>
      <c r="N2729" s="138"/>
      <c r="O2729" s="138"/>
      <c r="S2729" s="72"/>
      <c r="T2729" s="72"/>
      <c r="U2729" s="72"/>
      <c r="V2729" s="72"/>
    </row>
    <row r="2730" spans="1:22" s="128" customFormat="1" ht="12.75" x14ac:dyDescent="0.25">
      <c r="A2730" s="237"/>
      <c r="B2730" s="125"/>
      <c r="C2730" s="76"/>
      <c r="D2730" s="77"/>
      <c r="E2730" s="126" t="s">
        <v>3373</v>
      </c>
      <c r="F2730" s="125"/>
      <c r="G2730" s="242"/>
      <c r="H2730" s="127"/>
      <c r="I2730" s="78"/>
      <c r="J2730" s="238"/>
      <c r="K2730" s="239"/>
      <c r="L2730" s="239"/>
      <c r="M2730" s="79"/>
      <c r="N2730" s="79"/>
      <c r="O2730" s="79"/>
      <c r="S2730" s="129"/>
      <c r="T2730" s="129"/>
      <c r="U2730" s="129"/>
      <c r="V2730" s="129"/>
    </row>
    <row r="2731" spans="1:22" s="63" customFormat="1" ht="15" x14ac:dyDescent="0.25">
      <c r="A2731" s="87">
        <v>22.94</v>
      </c>
      <c r="B2731" s="81" t="s">
        <v>84</v>
      </c>
      <c r="C2731" s="82">
        <v>54</v>
      </c>
      <c r="D2731" s="131" t="s">
        <v>343</v>
      </c>
      <c r="E2731" s="83" t="s">
        <v>2295</v>
      </c>
      <c r="F2731" s="81" t="s">
        <v>205</v>
      </c>
      <c r="G2731" s="84">
        <v>0.875</v>
      </c>
      <c r="H2731" s="85"/>
      <c r="I2731" s="86">
        <v>2967.83</v>
      </c>
      <c r="J2731" s="185">
        <f t="shared" ref="J2731:J2744" si="260">ROUND($I2731/$G2731*$N$11,2)</f>
        <v>3861.91</v>
      </c>
      <c r="K2731" s="189">
        <f t="shared" ref="K2731:K2744" si="261">ROUND(G2731*J2731,2)</f>
        <v>3379.17</v>
      </c>
      <c r="L2731" s="189"/>
      <c r="M2731" s="138"/>
      <c r="N2731" s="138"/>
      <c r="O2731" s="138"/>
      <c r="S2731" s="72"/>
      <c r="T2731" s="72"/>
      <c r="U2731" s="72"/>
      <c r="V2731" s="72"/>
    </row>
    <row r="2732" spans="1:22" s="63" customFormat="1" ht="22.5" x14ac:dyDescent="0.25">
      <c r="A2732" s="87">
        <v>22.95</v>
      </c>
      <c r="B2732" s="81" t="s">
        <v>84</v>
      </c>
      <c r="C2732" s="80">
        <v>54.1</v>
      </c>
      <c r="D2732" s="131" t="s">
        <v>320</v>
      </c>
      <c r="E2732" s="83" t="s">
        <v>321</v>
      </c>
      <c r="F2732" s="81" t="s">
        <v>205</v>
      </c>
      <c r="G2732" s="88">
        <v>1.1375</v>
      </c>
      <c r="H2732" s="85"/>
      <c r="I2732" s="86">
        <v>1626.37</v>
      </c>
      <c r="J2732" s="185">
        <f t="shared" si="260"/>
        <v>1627.94</v>
      </c>
      <c r="K2732" s="189">
        <f t="shared" si="261"/>
        <v>1851.78</v>
      </c>
      <c r="L2732" s="189"/>
      <c r="M2732" s="138"/>
      <c r="N2732" s="138"/>
      <c r="O2732" s="138"/>
      <c r="S2732" s="72"/>
      <c r="T2732" s="72"/>
      <c r="U2732" s="72"/>
      <c r="V2732" s="72"/>
    </row>
    <row r="2733" spans="1:22" s="63" customFormat="1" ht="15" x14ac:dyDescent="0.25">
      <c r="A2733" s="87">
        <v>22.96</v>
      </c>
      <c r="B2733" s="81" t="s">
        <v>84</v>
      </c>
      <c r="C2733" s="82">
        <v>55</v>
      </c>
      <c r="D2733" s="131" t="s">
        <v>294</v>
      </c>
      <c r="E2733" s="83" t="s">
        <v>295</v>
      </c>
      <c r="F2733" s="81" t="s">
        <v>196</v>
      </c>
      <c r="G2733" s="88">
        <v>1.7500000000000002E-2</v>
      </c>
      <c r="H2733" s="85"/>
      <c r="I2733" s="86">
        <v>3516.66</v>
      </c>
      <c r="J2733" s="185">
        <f t="shared" si="260"/>
        <v>228803.95</v>
      </c>
      <c r="K2733" s="189">
        <f t="shared" si="261"/>
        <v>4004.07</v>
      </c>
      <c r="L2733" s="189"/>
      <c r="M2733" s="138"/>
      <c r="N2733" s="138"/>
      <c r="O2733" s="138"/>
      <c r="S2733" s="72"/>
      <c r="T2733" s="72"/>
      <c r="U2733" s="72"/>
      <c r="V2733" s="72"/>
    </row>
    <row r="2734" spans="1:22" s="63" customFormat="1" ht="22.5" x14ac:dyDescent="0.25">
      <c r="A2734" s="87">
        <v>22.97</v>
      </c>
      <c r="B2734" s="81" t="s">
        <v>84</v>
      </c>
      <c r="C2734" s="80">
        <v>55.1</v>
      </c>
      <c r="D2734" s="131" t="s">
        <v>2536</v>
      </c>
      <c r="E2734" s="83" t="s">
        <v>2537</v>
      </c>
      <c r="F2734" s="81" t="s">
        <v>205</v>
      </c>
      <c r="G2734" s="84">
        <v>1.7849999999999999</v>
      </c>
      <c r="H2734" s="85"/>
      <c r="I2734" s="86">
        <v>9230.67</v>
      </c>
      <c r="J2734" s="185">
        <f t="shared" si="260"/>
        <v>5887.98</v>
      </c>
      <c r="K2734" s="189">
        <f t="shared" si="261"/>
        <v>10510.04</v>
      </c>
      <c r="L2734" s="189"/>
      <c r="M2734" s="138"/>
      <c r="N2734" s="138"/>
      <c r="O2734" s="138"/>
      <c r="S2734" s="72"/>
      <c r="T2734" s="72"/>
      <c r="U2734" s="72"/>
      <c r="V2734" s="72"/>
    </row>
    <row r="2735" spans="1:22" s="63" customFormat="1" ht="22.5" x14ac:dyDescent="0.25">
      <c r="A2735" s="87">
        <v>22.98</v>
      </c>
      <c r="B2735" s="81" t="s">
        <v>84</v>
      </c>
      <c r="C2735" s="82">
        <v>56</v>
      </c>
      <c r="D2735" s="131" t="s">
        <v>2538</v>
      </c>
      <c r="E2735" s="83" t="s">
        <v>2539</v>
      </c>
      <c r="F2735" s="81" t="s">
        <v>216</v>
      </c>
      <c r="G2735" s="87">
        <v>0.06</v>
      </c>
      <c r="H2735" s="85"/>
      <c r="I2735" s="86">
        <v>6290.56</v>
      </c>
      <c r="J2735" s="185">
        <f t="shared" si="260"/>
        <v>119373.86</v>
      </c>
      <c r="K2735" s="189">
        <f t="shared" si="261"/>
        <v>7162.43</v>
      </c>
      <c r="L2735" s="189"/>
      <c r="M2735" s="138"/>
      <c r="N2735" s="138"/>
      <c r="O2735" s="138"/>
      <c r="S2735" s="72"/>
      <c r="T2735" s="72"/>
      <c r="U2735" s="72"/>
      <c r="V2735" s="72"/>
    </row>
    <row r="2736" spans="1:22" s="63" customFormat="1" ht="22.5" x14ac:dyDescent="0.25">
      <c r="A2736" s="87">
        <v>22.99</v>
      </c>
      <c r="B2736" s="81" t="s">
        <v>84</v>
      </c>
      <c r="C2736" s="80">
        <v>56.1</v>
      </c>
      <c r="D2736" s="131" t="s">
        <v>2536</v>
      </c>
      <c r="E2736" s="83" t="s">
        <v>2537</v>
      </c>
      <c r="F2736" s="81" t="s">
        <v>205</v>
      </c>
      <c r="G2736" s="87">
        <v>0.75</v>
      </c>
      <c r="H2736" s="85"/>
      <c r="I2736" s="86">
        <v>3878.43</v>
      </c>
      <c r="J2736" s="185">
        <f t="shared" si="260"/>
        <v>5887.97</v>
      </c>
      <c r="K2736" s="189">
        <f t="shared" si="261"/>
        <v>4415.9799999999996</v>
      </c>
      <c r="L2736" s="189"/>
      <c r="M2736" s="138"/>
      <c r="N2736" s="138"/>
      <c r="O2736" s="138"/>
      <c r="S2736" s="72"/>
      <c r="T2736" s="72"/>
      <c r="U2736" s="72"/>
      <c r="V2736" s="72"/>
    </row>
    <row r="2737" spans="1:22" s="63" customFormat="1" ht="22.5" x14ac:dyDescent="0.25">
      <c r="A2737" s="84">
        <v>22.1</v>
      </c>
      <c r="B2737" s="81" t="s">
        <v>84</v>
      </c>
      <c r="C2737" s="80">
        <v>56.2</v>
      </c>
      <c r="D2737" s="131" t="s">
        <v>2086</v>
      </c>
      <c r="E2737" s="83" t="s">
        <v>2087</v>
      </c>
      <c r="F2737" s="81" t="s">
        <v>334</v>
      </c>
      <c r="G2737" s="80">
        <v>18.2</v>
      </c>
      <c r="H2737" s="85"/>
      <c r="I2737" s="86">
        <v>9958.74</v>
      </c>
      <c r="J2737" s="185">
        <f t="shared" si="260"/>
        <v>623.02</v>
      </c>
      <c r="K2737" s="189">
        <f t="shared" si="261"/>
        <v>11338.96</v>
      </c>
      <c r="L2737" s="189"/>
      <c r="M2737" s="138"/>
      <c r="N2737" s="138"/>
      <c r="O2737" s="138"/>
      <c r="S2737" s="72"/>
      <c r="T2737" s="72"/>
      <c r="U2737" s="72"/>
      <c r="V2737" s="72"/>
    </row>
    <row r="2738" spans="1:22" s="63" customFormat="1" ht="22.5" x14ac:dyDescent="0.25">
      <c r="A2738" s="84">
        <v>22.100999999999999</v>
      </c>
      <c r="B2738" s="81" t="s">
        <v>84</v>
      </c>
      <c r="C2738" s="82">
        <v>57</v>
      </c>
      <c r="D2738" s="131" t="s">
        <v>2540</v>
      </c>
      <c r="E2738" s="83" t="s">
        <v>2541</v>
      </c>
      <c r="F2738" s="81" t="s">
        <v>566</v>
      </c>
      <c r="G2738" s="80">
        <v>0.4</v>
      </c>
      <c r="H2738" s="85"/>
      <c r="I2738" s="86">
        <v>2898.04</v>
      </c>
      <c r="J2738" s="185">
        <f t="shared" si="260"/>
        <v>8249.27</v>
      </c>
      <c r="K2738" s="189">
        <f t="shared" si="261"/>
        <v>3299.71</v>
      </c>
      <c r="L2738" s="189"/>
      <c r="M2738" s="138"/>
      <c r="N2738" s="138"/>
      <c r="O2738" s="138"/>
      <c r="S2738" s="72"/>
      <c r="T2738" s="72"/>
      <c r="U2738" s="72"/>
      <c r="V2738" s="72"/>
    </row>
    <row r="2739" spans="1:22" s="63" customFormat="1" ht="22.5" x14ac:dyDescent="0.25">
      <c r="A2739" s="84">
        <v>22.102</v>
      </c>
      <c r="B2739" s="81" t="s">
        <v>84</v>
      </c>
      <c r="C2739" s="80">
        <v>57.1</v>
      </c>
      <c r="D2739" s="131" t="s">
        <v>2542</v>
      </c>
      <c r="E2739" s="83" t="s">
        <v>2543</v>
      </c>
      <c r="F2739" s="81" t="s">
        <v>370</v>
      </c>
      <c r="G2739" s="82">
        <v>20</v>
      </c>
      <c r="H2739" s="85"/>
      <c r="I2739" s="86">
        <v>6111.22</v>
      </c>
      <c r="J2739" s="185">
        <f t="shared" si="260"/>
        <v>347.91</v>
      </c>
      <c r="K2739" s="189">
        <f t="shared" si="261"/>
        <v>6958.2</v>
      </c>
      <c r="L2739" s="189"/>
      <c r="M2739" s="138"/>
      <c r="N2739" s="138"/>
      <c r="O2739" s="138"/>
      <c r="S2739" s="72"/>
      <c r="T2739" s="72"/>
      <c r="U2739" s="72"/>
      <c r="V2739" s="72"/>
    </row>
    <row r="2740" spans="1:22" s="63" customFormat="1" ht="15" x14ac:dyDescent="0.25">
      <c r="A2740" s="84">
        <v>22.103000000000002</v>
      </c>
      <c r="B2740" s="81" t="s">
        <v>84</v>
      </c>
      <c r="C2740" s="82">
        <v>58</v>
      </c>
      <c r="D2740" s="131" t="s">
        <v>2544</v>
      </c>
      <c r="E2740" s="83" t="s">
        <v>2545</v>
      </c>
      <c r="F2740" s="81" t="s">
        <v>566</v>
      </c>
      <c r="G2740" s="80">
        <v>0.1</v>
      </c>
      <c r="H2740" s="85"/>
      <c r="I2740" s="86">
        <v>352.85</v>
      </c>
      <c r="J2740" s="185">
        <f t="shared" si="260"/>
        <v>4017.55</v>
      </c>
      <c r="K2740" s="189">
        <f t="shared" si="261"/>
        <v>401.76</v>
      </c>
      <c r="L2740" s="189"/>
      <c r="M2740" s="138"/>
      <c r="N2740" s="138"/>
      <c r="O2740" s="138"/>
      <c r="S2740" s="72"/>
      <c r="T2740" s="72"/>
      <c r="U2740" s="72"/>
      <c r="V2740" s="72"/>
    </row>
    <row r="2741" spans="1:22" s="63" customFormat="1" ht="22.5" x14ac:dyDescent="0.25">
      <c r="A2741" s="84">
        <v>22.103999999999999</v>
      </c>
      <c r="B2741" s="81" t="s">
        <v>84</v>
      </c>
      <c r="C2741" s="80">
        <v>58.1</v>
      </c>
      <c r="D2741" s="131" t="s">
        <v>337</v>
      </c>
      <c r="E2741" s="83" t="s">
        <v>338</v>
      </c>
      <c r="F2741" s="81" t="s">
        <v>219</v>
      </c>
      <c r="G2741" s="82">
        <v>2</v>
      </c>
      <c r="H2741" s="85"/>
      <c r="I2741" s="86">
        <v>217.92</v>
      </c>
      <c r="J2741" s="185">
        <f t="shared" si="260"/>
        <v>124.06</v>
      </c>
      <c r="K2741" s="189">
        <f t="shared" si="261"/>
        <v>248.12</v>
      </c>
      <c r="L2741" s="189"/>
      <c r="M2741" s="138"/>
      <c r="N2741" s="138"/>
      <c r="O2741" s="138"/>
      <c r="S2741" s="72"/>
      <c r="T2741" s="72"/>
      <c r="U2741" s="72"/>
      <c r="V2741" s="72"/>
    </row>
    <row r="2742" spans="1:22" s="63" customFormat="1" ht="22.5" x14ac:dyDescent="0.25">
      <c r="A2742" s="84">
        <v>22.105</v>
      </c>
      <c r="B2742" s="81" t="s">
        <v>84</v>
      </c>
      <c r="C2742" s="80">
        <v>58.2</v>
      </c>
      <c r="D2742" s="131" t="s">
        <v>2546</v>
      </c>
      <c r="E2742" s="83" t="s">
        <v>2547</v>
      </c>
      <c r="F2742" s="81" t="s">
        <v>219</v>
      </c>
      <c r="G2742" s="82">
        <v>1</v>
      </c>
      <c r="H2742" s="85"/>
      <c r="I2742" s="86">
        <v>4287.8900000000003</v>
      </c>
      <c r="J2742" s="185">
        <f t="shared" si="260"/>
        <v>4882.1899999999996</v>
      </c>
      <c r="K2742" s="189">
        <f t="shared" si="261"/>
        <v>4882.1899999999996</v>
      </c>
      <c r="L2742" s="189"/>
      <c r="M2742" s="138"/>
      <c r="N2742" s="138"/>
      <c r="O2742" s="138"/>
      <c r="S2742" s="72"/>
      <c r="T2742" s="72"/>
      <c r="U2742" s="72"/>
      <c r="V2742" s="72"/>
    </row>
    <row r="2743" spans="1:22" s="63" customFormat="1" ht="15" x14ac:dyDescent="0.25">
      <c r="A2743" s="84">
        <v>22.106000000000002</v>
      </c>
      <c r="B2743" s="81" t="s">
        <v>84</v>
      </c>
      <c r="C2743" s="82">
        <v>59</v>
      </c>
      <c r="D2743" s="131" t="s">
        <v>341</v>
      </c>
      <c r="E2743" s="83" t="s">
        <v>342</v>
      </c>
      <c r="F2743" s="81" t="s">
        <v>207</v>
      </c>
      <c r="G2743" s="88">
        <v>0.20760000000000001</v>
      </c>
      <c r="H2743" s="85"/>
      <c r="I2743" s="86">
        <v>1548.82</v>
      </c>
      <c r="J2743" s="185">
        <f t="shared" si="260"/>
        <v>8494.64</v>
      </c>
      <c r="K2743" s="189">
        <f t="shared" si="261"/>
        <v>1763.49</v>
      </c>
      <c r="L2743" s="189"/>
      <c r="M2743" s="138"/>
      <c r="N2743" s="138"/>
      <c r="O2743" s="138"/>
      <c r="S2743" s="72"/>
      <c r="T2743" s="72"/>
      <c r="U2743" s="72"/>
      <c r="V2743" s="72"/>
    </row>
    <row r="2744" spans="1:22" s="63" customFormat="1" ht="15" x14ac:dyDescent="0.25">
      <c r="A2744" s="84">
        <v>22.106999999999999</v>
      </c>
      <c r="B2744" s="81" t="s">
        <v>84</v>
      </c>
      <c r="C2744" s="82">
        <v>60</v>
      </c>
      <c r="D2744" s="131" t="s">
        <v>315</v>
      </c>
      <c r="E2744" s="83" t="s">
        <v>316</v>
      </c>
      <c r="F2744" s="81" t="s">
        <v>207</v>
      </c>
      <c r="G2744" s="88">
        <v>0.20760000000000001</v>
      </c>
      <c r="H2744" s="85"/>
      <c r="I2744" s="86">
        <v>2799.3</v>
      </c>
      <c r="J2744" s="185">
        <f t="shared" si="260"/>
        <v>15353</v>
      </c>
      <c r="K2744" s="189">
        <f t="shared" si="261"/>
        <v>3187.28</v>
      </c>
      <c r="L2744" s="189"/>
      <c r="M2744" s="138"/>
      <c r="N2744" s="138"/>
      <c r="O2744" s="138"/>
      <c r="S2744" s="72"/>
      <c r="T2744" s="72"/>
      <c r="U2744" s="72"/>
      <c r="V2744" s="72"/>
    </row>
    <row r="2745" spans="1:22" s="63" customFormat="1" ht="15" x14ac:dyDescent="0.25">
      <c r="A2745" s="194">
        <v>23</v>
      </c>
      <c r="B2745" s="418" t="s">
        <v>2548</v>
      </c>
      <c r="C2745" s="418"/>
      <c r="D2745" s="418"/>
      <c r="E2745" s="195" t="s">
        <v>87</v>
      </c>
      <c r="F2745" s="196"/>
      <c r="G2745" s="194">
        <v>1</v>
      </c>
      <c r="H2745" s="197">
        <v>1831461.84</v>
      </c>
      <c r="I2745" s="355">
        <f>SUM(I2748:I2824)</f>
        <v>1831461.8100000003</v>
      </c>
      <c r="J2745" s="200"/>
      <c r="K2745" s="198">
        <f>SUM(K2748:K2824)</f>
        <v>2085303.1399999997</v>
      </c>
      <c r="L2745" s="198"/>
      <c r="M2745" s="207"/>
      <c r="N2745" s="209"/>
      <c r="O2745" s="138"/>
      <c r="S2745" s="72"/>
      <c r="T2745" s="72"/>
      <c r="U2745" s="72"/>
      <c r="V2745" s="72"/>
    </row>
    <row r="2746" spans="1:22" s="63" customFormat="1" ht="15" x14ac:dyDescent="0.25">
      <c r="A2746" s="216"/>
      <c r="B2746" s="217"/>
      <c r="C2746" s="217"/>
      <c r="D2746" s="217"/>
      <c r="E2746" s="218" t="s">
        <v>3200</v>
      </c>
      <c r="F2746" s="219"/>
      <c r="G2746" s="216"/>
      <c r="H2746" s="220"/>
      <c r="I2746" s="221"/>
      <c r="J2746" s="244"/>
      <c r="K2746" s="221"/>
      <c r="L2746" s="221"/>
      <c r="M2746" s="207"/>
      <c r="N2746" s="209"/>
      <c r="O2746" s="138"/>
      <c r="S2746" s="72"/>
      <c r="T2746" s="72"/>
      <c r="U2746" s="72"/>
      <c r="V2746" s="72"/>
    </row>
    <row r="2747" spans="1:22" s="63" customFormat="1" ht="15" x14ac:dyDescent="0.25">
      <c r="A2747" s="216"/>
      <c r="B2747" s="217"/>
      <c r="C2747" s="217"/>
      <c r="D2747" s="217"/>
      <c r="E2747" s="218" t="s">
        <v>3374</v>
      </c>
      <c r="F2747" s="219"/>
      <c r="G2747" s="216"/>
      <c r="H2747" s="220"/>
      <c r="I2747" s="221"/>
      <c r="J2747" s="244"/>
      <c r="K2747" s="221"/>
      <c r="L2747" s="221"/>
      <c r="M2747" s="207"/>
      <c r="N2747" s="209"/>
      <c r="O2747" s="138"/>
      <c r="S2747" s="72"/>
      <c r="T2747" s="72"/>
      <c r="U2747" s="72"/>
      <c r="V2747" s="72"/>
    </row>
    <row r="2748" spans="1:22" s="63" customFormat="1" ht="22.5" x14ac:dyDescent="0.25">
      <c r="A2748" s="80">
        <v>23.1</v>
      </c>
      <c r="B2748" s="81" t="s">
        <v>86</v>
      </c>
      <c r="C2748" s="82">
        <v>1</v>
      </c>
      <c r="D2748" s="131" t="s">
        <v>2549</v>
      </c>
      <c r="E2748" s="83" t="s">
        <v>2550</v>
      </c>
      <c r="F2748" s="81" t="s">
        <v>193</v>
      </c>
      <c r="G2748" s="87">
        <v>0.03</v>
      </c>
      <c r="H2748" s="85"/>
      <c r="I2748" s="86">
        <f>2256.3-0.03</f>
        <v>2256.27</v>
      </c>
      <c r="J2748" s="185">
        <f t="shared" ref="J2748:J2753" si="262">ROUND($I2748/$G2748*$N$11,2)</f>
        <v>85632.97</v>
      </c>
      <c r="K2748" s="189">
        <f t="shared" ref="K2748:K2753" si="263">ROUND(G2748*J2748,2)</f>
        <v>2568.9899999999998</v>
      </c>
      <c r="L2748" s="189"/>
      <c r="M2748" s="138"/>
      <c r="N2748" s="138"/>
      <c r="O2748" s="138"/>
      <c r="S2748" s="72"/>
      <c r="T2748" s="72"/>
      <c r="U2748" s="72"/>
      <c r="V2748" s="72"/>
    </row>
    <row r="2749" spans="1:22" s="63" customFormat="1" ht="22.5" x14ac:dyDescent="0.25">
      <c r="A2749" s="80">
        <v>23.2</v>
      </c>
      <c r="B2749" s="81" t="s">
        <v>86</v>
      </c>
      <c r="C2749" s="82">
        <v>2</v>
      </c>
      <c r="D2749" s="131" t="s">
        <v>2551</v>
      </c>
      <c r="E2749" s="83" t="s">
        <v>2552</v>
      </c>
      <c r="F2749" s="81" t="s">
        <v>193</v>
      </c>
      <c r="G2749" s="88">
        <v>0.17610000000000001</v>
      </c>
      <c r="H2749" s="85"/>
      <c r="I2749" s="86">
        <v>18385.62</v>
      </c>
      <c r="J2749" s="185">
        <f t="shared" si="262"/>
        <v>118874.88</v>
      </c>
      <c r="K2749" s="189">
        <f t="shared" si="263"/>
        <v>20933.87</v>
      </c>
      <c r="L2749" s="189"/>
      <c r="M2749" s="138"/>
      <c r="N2749" s="138"/>
      <c r="O2749" s="138"/>
      <c r="S2749" s="72"/>
      <c r="T2749" s="72"/>
      <c r="U2749" s="72"/>
      <c r="V2749" s="72"/>
    </row>
    <row r="2750" spans="1:22" s="63" customFormat="1" ht="22.5" x14ac:dyDescent="0.25">
      <c r="A2750" s="80">
        <v>23.3</v>
      </c>
      <c r="B2750" s="81" t="s">
        <v>86</v>
      </c>
      <c r="C2750" s="82">
        <v>3</v>
      </c>
      <c r="D2750" s="131" t="s">
        <v>2553</v>
      </c>
      <c r="E2750" s="83" t="s">
        <v>2554</v>
      </c>
      <c r="F2750" s="81" t="s">
        <v>196</v>
      </c>
      <c r="G2750" s="84">
        <v>6.4000000000000001E-2</v>
      </c>
      <c r="H2750" s="85"/>
      <c r="I2750" s="86">
        <v>11815.89</v>
      </c>
      <c r="J2750" s="185">
        <f t="shared" si="262"/>
        <v>210212.07</v>
      </c>
      <c r="K2750" s="189">
        <f t="shared" si="263"/>
        <v>13453.57</v>
      </c>
      <c r="L2750" s="189"/>
      <c r="M2750" s="138"/>
      <c r="N2750" s="138"/>
      <c r="O2750" s="138"/>
      <c r="S2750" s="72"/>
      <c r="T2750" s="72"/>
      <c r="U2750" s="72"/>
      <c r="V2750" s="72"/>
    </row>
    <row r="2751" spans="1:22" s="63" customFormat="1" ht="15" x14ac:dyDescent="0.25">
      <c r="A2751" s="80">
        <v>23.4</v>
      </c>
      <c r="B2751" s="81" t="s">
        <v>86</v>
      </c>
      <c r="C2751" s="82">
        <v>4</v>
      </c>
      <c r="D2751" s="131" t="s">
        <v>2340</v>
      </c>
      <c r="E2751" s="83" t="s">
        <v>2341</v>
      </c>
      <c r="F2751" s="81" t="s">
        <v>319</v>
      </c>
      <c r="G2751" s="84">
        <v>1.268</v>
      </c>
      <c r="H2751" s="85"/>
      <c r="I2751" s="86">
        <v>13735.95</v>
      </c>
      <c r="J2751" s="185">
        <f t="shared" si="262"/>
        <v>12334.19</v>
      </c>
      <c r="K2751" s="189">
        <f t="shared" si="263"/>
        <v>15639.75</v>
      </c>
      <c r="L2751" s="189"/>
      <c r="M2751" s="138"/>
      <c r="N2751" s="138"/>
      <c r="O2751" s="138"/>
      <c r="S2751" s="72"/>
      <c r="T2751" s="72"/>
      <c r="U2751" s="72"/>
      <c r="V2751" s="72"/>
    </row>
    <row r="2752" spans="1:22" s="63" customFormat="1" ht="22.5" x14ac:dyDescent="0.25">
      <c r="A2752" s="80">
        <v>23.5</v>
      </c>
      <c r="B2752" s="81" t="s">
        <v>86</v>
      </c>
      <c r="C2752" s="80">
        <v>4.0999999999999996</v>
      </c>
      <c r="D2752" s="131" t="s">
        <v>2426</v>
      </c>
      <c r="E2752" s="83" t="s">
        <v>2427</v>
      </c>
      <c r="F2752" s="81" t="s">
        <v>205</v>
      </c>
      <c r="G2752" s="84">
        <v>13.948</v>
      </c>
      <c r="H2752" s="85"/>
      <c r="I2752" s="86">
        <v>4380.8599999999997</v>
      </c>
      <c r="J2752" s="185">
        <f t="shared" si="262"/>
        <v>357.62</v>
      </c>
      <c r="K2752" s="189">
        <f t="shared" si="263"/>
        <v>4988.08</v>
      </c>
      <c r="L2752" s="189"/>
      <c r="M2752" s="138"/>
      <c r="N2752" s="138"/>
      <c r="O2752" s="138"/>
      <c r="S2752" s="72"/>
      <c r="T2752" s="72"/>
      <c r="U2752" s="72"/>
      <c r="V2752" s="72"/>
    </row>
    <row r="2753" spans="1:22" s="63" customFormat="1" ht="22.5" x14ac:dyDescent="0.25">
      <c r="A2753" s="80">
        <v>23.6</v>
      </c>
      <c r="B2753" s="81" t="s">
        <v>86</v>
      </c>
      <c r="C2753" s="82">
        <v>5</v>
      </c>
      <c r="D2753" s="131" t="s">
        <v>197</v>
      </c>
      <c r="E2753" s="83" t="s">
        <v>198</v>
      </c>
      <c r="F2753" s="81" t="s">
        <v>193</v>
      </c>
      <c r="G2753" s="89">
        <v>0.22669</v>
      </c>
      <c r="H2753" s="85"/>
      <c r="I2753" s="86">
        <v>3036.57</v>
      </c>
      <c r="J2753" s="185">
        <f t="shared" si="262"/>
        <v>15251.84</v>
      </c>
      <c r="K2753" s="189">
        <f t="shared" si="263"/>
        <v>3457.44</v>
      </c>
      <c r="L2753" s="189"/>
      <c r="M2753" s="138"/>
      <c r="N2753" s="138"/>
      <c r="O2753" s="138"/>
      <c r="S2753" s="72"/>
      <c r="T2753" s="72"/>
      <c r="U2753" s="72"/>
      <c r="V2753" s="72"/>
    </row>
    <row r="2754" spans="1:22" s="128" customFormat="1" ht="12.75" x14ac:dyDescent="0.25">
      <c r="A2754" s="236"/>
      <c r="B2754" s="125"/>
      <c r="C2754" s="76"/>
      <c r="D2754" s="77"/>
      <c r="E2754" s="126" t="s">
        <v>3376</v>
      </c>
      <c r="F2754" s="125"/>
      <c r="G2754" s="243"/>
      <c r="H2754" s="127"/>
      <c r="I2754" s="78"/>
      <c r="J2754" s="238"/>
      <c r="K2754" s="239"/>
      <c r="L2754" s="239"/>
      <c r="M2754" s="79"/>
      <c r="N2754" s="79"/>
      <c r="O2754" s="79"/>
      <c r="S2754" s="129"/>
      <c r="T2754" s="129"/>
      <c r="U2754" s="129"/>
      <c r="V2754" s="129"/>
    </row>
    <row r="2755" spans="1:22" s="63" customFormat="1" ht="22.5" x14ac:dyDescent="0.25">
      <c r="A2755" s="80">
        <v>23.7</v>
      </c>
      <c r="B2755" s="81" t="s">
        <v>86</v>
      </c>
      <c r="C2755" s="82">
        <v>6</v>
      </c>
      <c r="D2755" s="131" t="s">
        <v>2549</v>
      </c>
      <c r="E2755" s="83" t="s">
        <v>2550</v>
      </c>
      <c r="F2755" s="81" t="s">
        <v>193</v>
      </c>
      <c r="G2755" s="90">
        <v>4.6793000000000001E-2</v>
      </c>
      <c r="H2755" s="85"/>
      <c r="I2755" s="86">
        <v>3518.89</v>
      </c>
      <c r="J2755" s="185">
        <f t="shared" ref="J2755:J2760" si="264">ROUND($I2755/$G2755*$N$11,2)</f>
        <v>85624.09</v>
      </c>
      <c r="K2755" s="189">
        <f t="shared" ref="K2755:K2760" si="265">ROUND(G2755*J2755,2)</f>
        <v>4006.61</v>
      </c>
      <c r="L2755" s="189"/>
      <c r="M2755" s="138"/>
      <c r="N2755" s="138"/>
      <c r="O2755" s="138"/>
      <c r="S2755" s="72"/>
      <c r="T2755" s="72"/>
      <c r="U2755" s="72"/>
      <c r="V2755" s="72"/>
    </row>
    <row r="2756" spans="1:22" s="63" customFormat="1" ht="22.5" x14ac:dyDescent="0.25">
      <c r="A2756" s="80">
        <v>23.8</v>
      </c>
      <c r="B2756" s="81" t="s">
        <v>86</v>
      </c>
      <c r="C2756" s="82">
        <v>7</v>
      </c>
      <c r="D2756" s="131" t="s">
        <v>194</v>
      </c>
      <c r="E2756" s="83" t="s">
        <v>195</v>
      </c>
      <c r="F2756" s="81" t="s">
        <v>196</v>
      </c>
      <c r="G2756" s="90">
        <v>1.4472E-2</v>
      </c>
      <c r="H2756" s="85"/>
      <c r="I2756" s="86">
        <v>1658.69</v>
      </c>
      <c r="J2756" s="185">
        <f t="shared" si="264"/>
        <v>130499.2</v>
      </c>
      <c r="K2756" s="189">
        <f t="shared" si="265"/>
        <v>1888.58</v>
      </c>
      <c r="L2756" s="189"/>
      <c r="M2756" s="138"/>
      <c r="N2756" s="138"/>
      <c r="O2756" s="138"/>
      <c r="S2756" s="72"/>
      <c r="T2756" s="72"/>
      <c r="U2756" s="72"/>
      <c r="V2756" s="72"/>
    </row>
    <row r="2757" spans="1:22" s="63" customFormat="1" ht="15" x14ac:dyDescent="0.25">
      <c r="A2757" s="80">
        <v>23.9</v>
      </c>
      <c r="B2757" s="81" t="s">
        <v>86</v>
      </c>
      <c r="C2757" s="82">
        <v>8</v>
      </c>
      <c r="D2757" s="131" t="s">
        <v>2340</v>
      </c>
      <c r="E2757" s="83" t="s">
        <v>2555</v>
      </c>
      <c r="F2757" s="81" t="s">
        <v>319</v>
      </c>
      <c r="G2757" s="84">
        <v>0.17399999999999999</v>
      </c>
      <c r="H2757" s="85"/>
      <c r="I2757" s="86">
        <v>1885.27</v>
      </c>
      <c r="J2757" s="185">
        <f t="shared" si="264"/>
        <v>12336.6</v>
      </c>
      <c r="K2757" s="189">
        <f t="shared" si="265"/>
        <v>2146.5700000000002</v>
      </c>
      <c r="L2757" s="189"/>
      <c r="M2757" s="138"/>
      <c r="N2757" s="138"/>
      <c r="O2757" s="138"/>
      <c r="S2757" s="72"/>
      <c r="T2757" s="72"/>
      <c r="U2757" s="72"/>
      <c r="V2757" s="72"/>
    </row>
    <row r="2758" spans="1:22" s="63" customFormat="1" ht="33.75" x14ac:dyDescent="0.25">
      <c r="A2758" s="87">
        <v>23.1</v>
      </c>
      <c r="B2758" s="81" t="s">
        <v>86</v>
      </c>
      <c r="C2758" s="82">
        <v>9</v>
      </c>
      <c r="D2758" s="131" t="s">
        <v>2424</v>
      </c>
      <c r="E2758" s="83" t="s">
        <v>2556</v>
      </c>
      <c r="F2758" s="81" t="s">
        <v>193</v>
      </c>
      <c r="G2758" s="88">
        <v>8.6E-3</v>
      </c>
      <c r="H2758" s="85"/>
      <c r="I2758" s="86">
        <v>98.59</v>
      </c>
      <c r="J2758" s="185">
        <f t="shared" si="264"/>
        <v>13052.86</v>
      </c>
      <c r="K2758" s="189">
        <f t="shared" si="265"/>
        <v>112.25</v>
      </c>
      <c r="L2758" s="189"/>
      <c r="M2758" s="138"/>
      <c r="N2758" s="138"/>
      <c r="O2758" s="138"/>
      <c r="S2758" s="72"/>
      <c r="T2758" s="72"/>
      <c r="U2758" s="72"/>
      <c r="V2758" s="72"/>
    </row>
    <row r="2759" spans="1:22" s="63" customFormat="1" ht="22.5" x14ac:dyDescent="0.25">
      <c r="A2759" s="87">
        <v>23.11</v>
      </c>
      <c r="B2759" s="81" t="s">
        <v>86</v>
      </c>
      <c r="C2759" s="80">
        <v>9.1</v>
      </c>
      <c r="D2759" s="131" t="s">
        <v>2372</v>
      </c>
      <c r="E2759" s="83" t="s">
        <v>2373</v>
      </c>
      <c r="F2759" s="81" t="s">
        <v>205</v>
      </c>
      <c r="G2759" s="84">
        <v>11.374000000000001</v>
      </c>
      <c r="H2759" s="85"/>
      <c r="I2759" s="86">
        <v>15097.69</v>
      </c>
      <c r="J2759" s="185">
        <f t="shared" si="264"/>
        <v>1511.36</v>
      </c>
      <c r="K2759" s="189">
        <f t="shared" si="265"/>
        <v>17190.21</v>
      </c>
      <c r="L2759" s="189"/>
      <c r="M2759" s="138"/>
      <c r="N2759" s="138"/>
      <c r="O2759" s="138"/>
      <c r="S2759" s="72"/>
      <c r="T2759" s="72"/>
      <c r="U2759" s="72"/>
      <c r="V2759" s="72"/>
    </row>
    <row r="2760" spans="1:22" s="63" customFormat="1" ht="22.5" x14ac:dyDescent="0.25">
      <c r="A2760" s="87">
        <v>23.12</v>
      </c>
      <c r="B2760" s="81" t="s">
        <v>86</v>
      </c>
      <c r="C2760" s="82">
        <v>10</v>
      </c>
      <c r="D2760" s="131" t="s">
        <v>197</v>
      </c>
      <c r="E2760" s="83" t="s">
        <v>198</v>
      </c>
      <c r="F2760" s="81" t="s">
        <v>193</v>
      </c>
      <c r="G2760" s="88">
        <v>3.7900000000000003E-2</v>
      </c>
      <c r="H2760" s="85"/>
      <c r="I2760" s="86">
        <v>507.98</v>
      </c>
      <c r="J2760" s="185">
        <f t="shared" si="264"/>
        <v>15260.85</v>
      </c>
      <c r="K2760" s="189">
        <f t="shared" si="265"/>
        <v>578.39</v>
      </c>
      <c r="L2760" s="189"/>
      <c r="M2760" s="138"/>
      <c r="N2760" s="138"/>
      <c r="O2760" s="138"/>
      <c r="S2760" s="72"/>
      <c r="T2760" s="72"/>
      <c r="U2760" s="72"/>
      <c r="V2760" s="72"/>
    </row>
    <row r="2761" spans="1:22" s="128" customFormat="1" ht="12.75" x14ac:dyDescent="0.25">
      <c r="A2761" s="237"/>
      <c r="B2761" s="125"/>
      <c r="C2761" s="76"/>
      <c r="D2761" s="77"/>
      <c r="E2761" s="126" t="s">
        <v>3375</v>
      </c>
      <c r="F2761" s="125"/>
      <c r="G2761" s="240"/>
      <c r="H2761" s="127"/>
      <c r="I2761" s="78"/>
      <c r="J2761" s="238"/>
      <c r="K2761" s="239"/>
      <c r="L2761" s="239"/>
      <c r="M2761" s="79"/>
      <c r="N2761" s="79"/>
      <c r="O2761" s="79"/>
      <c r="S2761" s="129"/>
      <c r="T2761" s="129"/>
      <c r="U2761" s="129"/>
      <c r="V2761" s="129"/>
    </row>
    <row r="2762" spans="1:22" s="63" customFormat="1" ht="22.5" x14ac:dyDescent="0.25">
      <c r="A2762" s="87">
        <v>23.13</v>
      </c>
      <c r="B2762" s="81" t="s">
        <v>86</v>
      </c>
      <c r="C2762" s="82">
        <v>11</v>
      </c>
      <c r="D2762" s="131" t="s">
        <v>2549</v>
      </c>
      <c r="E2762" s="83" t="s">
        <v>2550</v>
      </c>
      <c r="F2762" s="81" t="s">
        <v>193</v>
      </c>
      <c r="G2762" s="90">
        <v>0.34454400000000002</v>
      </c>
      <c r="H2762" s="85"/>
      <c r="I2762" s="86">
        <v>25908.15</v>
      </c>
      <c r="J2762" s="185">
        <f t="shared" ref="J2762:J2767" si="266">ROUND($I2762/$G2762*$N$11,2)</f>
        <v>85617.57</v>
      </c>
      <c r="K2762" s="189">
        <f t="shared" ref="K2762:K2767" si="267">ROUND(G2762*J2762,2)</f>
        <v>29499.02</v>
      </c>
      <c r="L2762" s="189"/>
      <c r="M2762" s="138"/>
      <c r="N2762" s="138"/>
      <c r="O2762" s="138"/>
      <c r="S2762" s="72"/>
      <c r="T2762" s="72"/>
      <c r="U2762" s="72"/>
      <c r="V2762" s="72"/>
    </row>
    <row r="2763" spans="1:22" s="63" customFormat="1" ht="22.5" x14ac:dyDescent="0.25">
      <c r="A2763" s="87">
        <v>23.14</v>
      </c>
      <c r="B2763" s="81" t="s">
        <v>86</v>
      </c>
      <c r="C2763" s="82">
        <v>12</v>
      </c>
      <c r="D2763" s="131" t="s">
        <v>194</v>
      </c>
      <c r="E2763" s="83" t="s">
        <v>195</v>
      </c>
      <c r="F2763" s="81" t="s">
        <v>196</v>
      </c>
      <c r="G2763" s="89">
        <v>0.10656</v>
      </c>
      <c r="H2763" s="85"/>
      <c r="I2763" s="86">
        <v>12216.42</v>
      </c>
      <c r="J2763" s="185">
        <f t="shared" si="266"/>
        <v>130533.18</v>
      </c>
      <c r="K2763" s="189">
        <f t="shared" si="267"/>
        <v>13909.62</v>
      </c>
      <c r="L2763" s="189"/>
      <c r="M2763" s="138"/>
      <c r="N2763" s="138"/>
      <c r="O2763" s="138"/>
      <c r="S2763" s="72"/>
      <c r="T2763" s="72"/>
      <c r="U2763" s="72"/>
      <c r="V2763" s="72"/>
    </row>
    <row r="2764" spans="1:22" s="63" customFormat="1" ht="15" x14ac:dyDescent="0.25">
      <c r="A2764" s="87">
        <v>23.15</v>
      </c>
      <c r="B2764" s="81" t="s">
        <v>86</v>
      </c>
      <c r="C2764" s="82">
        <v>13</v>
      </c>
      <c r="D2764" s="131" t="s">
        <v>2340</v>
      </c>
      <c r="E2764" s="83" t="s">
        <v>2555</v>
      </c>
      <c r="F2764" s="81" t="s">
        <v>319</v>
      </c>
      <c r="G2764" s="84">
        <v>1.1950000000000001</v>
      </c>
      <c r="H2764" s="85"/>
      <c r="I2764" s="86">
        <v>12944.61</v>
      </c>
      <c r="J2764" s="185">
        <f t="shared" si="266"/>
        <v>12333.67</v>
      </c>
      <c r="K2764" s="189">
        <f t="shared" si="267"/>
        <v>14738.74</v>
      </c>
      <c r="L2764" s="189"/>
      <c r="M2764" s="138"/>
      <c r="N2764" s="138"/>
      <c r="O2764" s="138"/>
      <c r="S2764" s="72"/>
      <c r="T2764" s="72"/>
      <c r="U2764" s="72"/>
      <c r="V2764" s="72"/>
    </row>
    <row r="2765" spans="1:22" s="63" customFormat="1" ht="33.75" x14ac:dyDescent="0.25">
      <c r="A2765" s="87">
        <v>23.16</v>
      </c>
      <c r="B2765" s="81" t="s">
        <v>86</v>
      </c>
      <c r="C2765" s="82">
        <v>14</v>
      </c>
      <c r="D2765" s="131" t="s">
        <v>2424</v>
      </c>
      <c r="E2765" s="83" t="s">
        <v>2556</v>
      </c>
      <c r="F2765" s="81" t="s">
        <v>193</v>
      </c>
      <c r="G2765" s="88">
        <v>4.1599999999999998E-2</v>
      </c>
      <c r="H2765" s="85"/>
      <c r="I2765" s="86">
        <v>477.33</v>
      </c>
      <c r="J2765" s="185">
        <f t="shared" si="266"/>
        <v>13064.61</v>
      </c>
      <c r="K2765" s="189">
        <f t="shared" si="267"/>
        <v>543.49</v>
      </c>
      <c r="L2765" s="189"/>
      <c r="M2765" s="138"/>
      <c r="N2765" s="138"/>
      <c r="O2765" s="138"/>
      <c r="S2765" s="72"/>
      <c r="T2765" s="72"/>
      <c r="U2765" s="72"/>
      <c r="V2765" s="72"/>
    </row>
    <row r="2766" spans="1:22" s="63" customFormat="1" ht="22.5" x14ac:dyDescent="0.25">
      <c r="A2766" s="87">
        <v>23.17</v>
      </c>
      <c r="B2766" s="81" t="s">
        <v>86</v>
      </c>
      <c r="C2766" s="80">
        <v>14.1</v>
      </c>
      <c r="D2766" s="131" t="s">
        <v>2372</v>
      </c>
      <c r="E2766" s="83" t="s">
        <v>2373</v>
      </c>
      <c r="F2766" s="81" t="s">
        <v>205</v>
      </c>
      <c r="G2766" s="84">
        <v>58.905000000000001</v>
      </c>
      <c r="H2766" s="85"/>
      <c r="I2766" s="86">
        <v>78189.47</v>
      </c>
      <c r="J2766" s="185">
        <f t="shared" si="266"/>
        <v>1511.36</v>
      </c>
      <c r="K2766" s="189">
        <f t="shared" si="267"/>
        <v>89026.66</v>
      </c>
      <c r="L2766" s="189"/>
      <c r="M2766" s="138"/>
      <c r="N2766" s="138"/>
      <c r="O2766" s="138"/>
      <c r="S2766" s="72"/>
      <c r="T2766" s="72"/>
      <c r="U2766" s="72"/>
      <c r="V2766" s="72"/>
    </row>
    <row r="2767" spans="1:22" s="63" customFormat="1" ht="22.5" x14ac:dyDescent="0.25">
      <c r="A2767" s="87">
        <v>23.18</v>
      </c>
      <c r="B2767" s="81" t="s">
        <v>86</v>
      </c>
      <c r="C2767" s="82">
        <v>15</v>
      </c>
      <c r="D2767" s="131" t="s">
        <v>197</v>
      </c>
      <c r="E2767" s="83" t="s">
        <v>198</v>
      </c>
      <c r="F2767" s="81" t="s">
        <v>193</v>
      </c>
      <c r="G2767" s="89">
        <v>0.30164999999999997</v>
      </c>
      <c r="H2767" s="85"/>
      <c r="I2767" s="86">
        <v>4040.34</v>
      </c>
      <c r="J2767" s="185">
        <f t="shared" si="266"/>
        <v>15250.56</v>
      </c>
      <c r="K2767" s="189">
        <f t="shared" si="267"/>
        <v>4600.33</v>
      </c>
      <c r="L2767" s="189"/>
      <c r="M2767" s="138"/>
      <c r="N2767" s="138"/>
      <c r="O2767" s="138"/>
      <c r="S2767" s="72"/>
      <c r="T2767" s="72"/>
      <c r="U2767" s="72"/>
      <c r="V2767" s="72"/>
    </row>
    <row r="2768" spans="1:22" s="128" customFormat="1" ht="12.75" x14ac:dyDescent="0.25">
      <c r="A2768" s="237"/>
      <c r="B2768" s="125"/>
      <c r="C2768" s="76"/>
      <c r="D2768" s="77"/>
      <c r="E2768" s="126" t="s">
        <v>3377</v>
      </c>
      <c r="F2768" s="125"/>
      <c r="G2768" s="243"/>
      <c r="H2768" s="127"/>
      <c r="I2768" s="78"/>
      <c r="J2768" s="238"/>
      <c r="K2768" s="239"/>
      <c r="L2768" s="239"/>
      <c r="M2768" s="79"/>
      <c r="N2768" s="79"/>
      <c r="O2768" s="79"/>
      <c r="S2768" s="129"/>
      <c r="T2768" s="129"/>
      <c r="U2768" s="129"/>
      <c r="V2768" s="129"/>
    </row>
    <row r="2769" spans="1:22" s="63" customFormat="1" ht="22.5" x14ac:dyDescent="0.25">
      <c r="A2769" s="87">
        <v>23.19</v>
      </c>
      <c r="B2769" s="81" t="s">
        <v>86</v>
      </c>
      <c r="C2769" s="82">
        <v>16</v>
      </c>
      <c r="D2769" s="131" t="s">
        <v>2549</v>
      </c>
      <c r="E2769" s="83" t="s">
        <v>2550</v>
      </c>
      <c r="F2769" s="81" t="s">
        <v>193</v>
      </c>
      <c r="G2769" s="90">
        <v>2.3280000000000002E-3</v>
      </c>
      <c r="H2769" s="85"/>
      <c r="I2769" s="86">
        <v>174.9</v>
      </c>
      <c r="J2769" s="185">
        <f>ROUND($I2769/$G2769*$N$11,2)</f>
        <v>85541.73</v>
      </c>
      <c r="K2769" s="189">
        <f>ROUND(G2769*J2769,2)</f>
        <v>199.14</v>
      </c>
      <c r="L2769" s="189"/>
      <c r="M2769" s="138"/>
      <c r="N2769" s="138"/>
      <c r="O2769" s="138"/>
      <c r="S2769" s="72"/>
      <c r="T2769" s="72"/>
      <c r="U2769" s="72"/>
      <c r="V2769" s="72"/>
    </row>
    <row r="2770" spans="1:22" s="63" customFormat="1" ht="22.5" x14ac:dyDescent="0.25">
      <c r="A2770" s="87">
        <v>23.2</v>
      </c>
      <c r="B2770" s="81" t="s">
        <v>86</v>
      </c>
      <c r="C2770" s="82">
        <v>17</v>
      </c>
      <c r="D2770" s="131" t="s">
        <v>194</v>
      </c>
      <c r="E2770" s="83" t="s">
        <v>195</v>
      </c>
      <c r="F2770" s="81" t="s">
        <v>196</v>
      </c>
      <c r="G2770" s="89">
        <v>7.2000000000000005E-4</v>
      </c>
      <c r="H2770" s="85"/>
      <c r="I2770" s="86">
        <v>82.23</v>
      </c>
      <c r="J2770" s="185">
        <f>ROUND($I2770/$G2770*$N$11,2)</f>
        <v>130037.61</v>
      </c>
      <c r="K2770" s="189">
        <f>ROUND(G2770*J2770,2)</f>
        <v>93.63</v>
      </c>
      <c r="L2770" s="189"/>
      <c r="M2770" s="138"/>
      <c r="N2770" s="138"/>
      <c r="O2770" s="138"/>
      <c r="S2770" s="72"/>
      <c r="T2770" s="72"/>
      <c r="U2770" s="72"/>
      <c r="V2770" s="72"/>
    </row>
    <row r="2771" spans="1:22" s="63" customFormat="1" ht="22.5" x14ac:dyDescent="0.25">
      <c r="A2771" s="87">
        <v>23.21</v>
      </c>
      <c r="B2771" s="81" t="s">
        <v>86</v>
      </c>
      <c r="C2771" s="82">
        <v>18</v>
      </c>
      <c r="D2771" s="131" t="s">
        <v>197</v>
      </c>
      <c r="E2771" s="83" t="s">
        <v>198</v>
      </c>
      <c r="F2771" s="81" t="s">
        <v>193</v>
      </c>
      <c r="G2771" s="89">
        <v>2.3700000000000001E-3</v>
      </c>
      <c r="H2771" s="85"/>
      <c r="I2771" s="86">
        <v>31.51</v>
      </c>
      <c r="J2771" s="185">
        <f>ROUND($I2771/$G2771*$N$11,2)</f>
        <v>15138.1</v>
      </c>
      <c r="K2771" s="189">
        <f>ROUND(G2771*J2771,2)</f>
        <v>35.880000000000003</v>
      </c>
      <c r="L2771" s="189"/>
      <c r="M2771" s="138"/>
      <c r="N2771" s="138"/>
      <c r="O2771" s="138"/>
      <c r="S2771" s="72"/>
      <c r="T2771" s="72"/>
      <c r="U2771" s="72"/>
      <c r="V2771" s="72"/>
    </row>
    <row r="2772" spans="1:22" s="63" customFormat="1" ht="22.5" x14ac:dyDescent="0.25">
      <c r="A2772" s="87">
        <v>23.22</v>
      </c>
      <c r="B2772" s="81" t="s">
        <v>86</v>
      </c>
      <c r="C2772" s="82">
        <v>19</v>
      </c>
      <c r="D2772" s="131" t="s">
        <v>2422</v>
      </c>
      <c r="E2772" s="83" t="s">
        <v>2423</v>
      </c>
      <c r="F2772" s="81" t="s">
        <v>2321</v>
      </c>
      <c r="G2772" s="84">
        <v>308.17500000000001</v>
      </c>
      <c r="H2772" s="85"/>
      <c r="I2772" s="86">
        <v>12358.22</v>
      </c>
      <c r="J2772" s="185">
        <f>ROUND($I2772/$G2772*$N$11,2)</f>
        <v>45.66</v>
      </c>
      <c r="K2772" s="189">
        <f>ROUND(G2772*J2772,2)</f>
        <v>14071.27</v>
      </c>
      <c r="L2772" s="189"/>
      <c r="M2772" s="138"/>
      <c r="N2772" s="138"/>
      <c r="O2772" s="138"/>
      <c r="S2772" s="72"/>
      <c r="T2772" s="72"/>
      <c r="U2772" s="72"/>
      <c r="V2772" s="72"/>
    </row>
    <row r="2773" spans="1:22" s="128" customFormat="1" ht="12.75" x14ac:dyDescent="0.25">
      <c r="A2773" s="237"/>
      <c r="B2773" s="125"/>
      <c r="C2773" s="76"/>
      <c r="D2773" s="77"/>
      <c r="E2773" s="126" t="s">
        <v>3378</v>
      </c>
      <c r="F2773" s="125"/>
      <c r="G2773" s="242"/>
      <c r="H2773" s="127"/>
      <c r="I2773" s="78"/>
      <c r="J2773" s="238"/>
      <c r="K2773" s="239"/>
      <c r="L2773" s="239"/>
      <c r="M2773" s="79"/>
      <c r="N2773" s="79"/>
      <c r="O2773" s="79"/>
      <c r="S2773" s="129"/>
      <c r="T2773" s="129"/>
      <c r="U2773" s="129"/>
      <c r="V2773" s="129"/>
    </row>
    <row r="2774" spans="1:22" s="63" customFormat="1" ht="22.5" x14ac:dyDescent="0.25">
      <c r="A2774" s="87">
        <v>23.23</v>
      </c>
      <c r="B2774" s="81" t="s">
        <v>86</v>
      </c>
      <c r="C2774" s="82">
        <v>20</v>
      </c>
      <c r="D2774" s="131" t="s">
        <v>2557</v>
      </c>
      <c r="E2774" s="83" t="s">
        <v>2558</v>
      </c>
      <c r="F2774" s="81" t="s">
        <v>354</v>
      </c>
      <c r="G2774" s="84">
        <v>1.948</v>
      </c>
      <c r="H2774" s="85"/>
      <c r="I2774" s="86">
        <v>77201.429999999993</v>
      </c>
      <c r="J2774" s="185">
        <f t="shared" ref="J2774:J2786" si="268">ROUND($I2774/$G2774*$N$11,2)</f>
        <v>45124</v>
      </c>
      <c r="K2774" s="189">
        <f t="shared" ref="K2774:K2786" si="269">ROUND(G2774*J2774,2)</f>
        <v>87901.55</v>
      </c>
      <c r="L2774" s="189"/>
      <c r="M2774" s="138"/>
      <c r="N2774" s="138"/>
      <c r="O2774" s="138"/>
      <c r="S2774" s="72"/>
      <c r="T2774" s="72"/>
      <c r="U2774" s="72"/>
      <c r="V2774" s="72"/>
    </row>
    <row r="2775" spans="1:22" s="63" customFormat="1" ht="22.5" x14ac:dyDescent="0.25">
      <c r="A2775" s="87">
        <v>23.24</v>
      </c>
      <c r="B2775" s="81" t="s">
        <v>86</v>
      </c>
      <c r="C2775" s="80">
        <v>20.100000000000001</v>
      </c>
      <c r="D2775" s="131" t="s">
        <v>2559</v>
      </c>
      <c r="E2775" s="83" t="s">
        <v>2560</v>
      </c>
      <c r="F2775" s="81" t="s">
        <v>334</v>
      </c>
      <c r="G2775" s="84">
        <v>27.068000000000001</v>
      </c>
      <c r="H2775" s="85"/>
      <c r="I2775" s="86">
        <v>9994.35</v>
      </c>
      <c r="J2775" s="185">
        <f t="shared" si="268"/>
        <v>420.41</v>
      </c>
      <c r="K2775" s="189">
        <f t="shared" si="269"/>
        <v>11379.66</v>
      </c>
      <c r="L2775" s="189"/>
      <c r="M2775" s="138"/>
      <c r="N2775" s="138"/>
      <c r="O2775" s="138"/>
      <c r="S2775" s="72"/>
      <c r="T2775" s="72"/>
      <c r="U2775" s="72"/>
      <c r="V2775" s="72"/>
    </row>
    <row r="2776" spans="1:22" s="63" customFormat="1" ht="22.5" x14ac:dyDescent="0.25">
      <c r="A2776" s="87">
        <v>23.25</v>
      </c>
      <c r="B2776" s="81" t="s">
        <v>86</v>
      </c>
      <c r="C2776" s="80">
        <v>20.2</v>
      </c>
      <c r="D2776" s="131" t="s">
        <v>2561</v>
      </c>
      <c r="E2776" s="83" t="s">
        <v>2562</v>
      </c>
      <c r="F2776" s="81" t="s">
        <v>219</v>
      </c>
      <c r="G2776" s="82">
        <v>3</v>
      </c>
      <c r="H2776" s="85"/>
      <c r="I2776" s="86">
        <v>480.32</v>
      </c>
      <c r="J2776" s="185">
        <f t="shared" si="268"/>
        <v>182.3</v>
      </c>
      <c r="K2776" s="189">
        <f t="shared" si="269"/>
        <v>546.9</v>
      </c>
      <c r="L2776" s="189"/>
      <c r="M2776" s="138"/>
      <c r="N2776" s="138"/>
      <c r="O2776" s="138"/>
      <c r="S2776" s="72"/>
      <c r="T2776" s="72"/>
      <c r="U2776" s="72"/>
      <c r="V2776" s="72"/>
    </row>
    <row r="2777" spans="1:22" s="63" customFormat="1" ht="22.5" x14ac:dyDescent="0.25">
      <c r="A2777" s="87">
        <v>23.26</v>
      </c>
      <c r="B2777" s="81" t="s">
        <v>86</v>
      </c>
      <c r="C2777" s="80">
        <v>20.3</v>
      </c>
      <c r="D2777" s="131" t="s">
        <v>2563</v>
      </c>
      <c r="E2777" s="83" t="s">
        <v>2564</v>
      </c>
      <c r="F2777" s="81" t="s">
        <v>216</v>
      </c>
      <c r="G2777" s="87">
        <v>0.06</v>
      </c>
      <c r="H2777" s="85"/>
      <c r="I2777" s="86">
        <v>190.74</v>
      </c>
      <c r="J2777" s="185">
        <f t="shared" si="268"/>
        <v>3619.61</v>
      </c>
      <c r="K2777" s="189">
        <f t="shared" si="269"/>
        <v>217.18</v>
      </c>
      <c r="L2777" s="189"/>
      <c r="M2777" s="138"/>
      <c r="N2777" s="138"/>
      <c r="O2777" s="138"/>
      <c r="S2777" s="72"/>
      <c r="T2777" s="72"/>
      <c r="U2777" s="72"/>
      <c r="V2777" s="72"/>
    </row>
    <row r="2778" spans="1:22" s="63" customFormat="1" ht="22.5" x14ac:dyDescent="0.25">
      <c r="A2778" s="87">
        <v>23.27</v>
      </c>
      <c r="B2778" s="81" t="s">
        <v>86</v>
      </c>
      <c r="C2778" s="82">
        <v>21</v>
      </c>
      <c r="D2778" s="131" t="s">
        <v>2565</v>
      </c>
      <c r="E2778" s="83" t="s">
        <v>2566</v>
      </c>
      <c r="F2778" s="81" t="s">
        <v>216</v>
      </c>
      <c r="G2778" s="87">
        <v>0.04</v>
      </c>
      <c r="H2778" s="85"/>
      <c r="I2778" s="86">
        <v>1652.54</v>
      </c>
      <c r="J2778" s="185">
        <f t="shared" si="268"/>
        <v>47039.55</v>
      </c>
      <c r="K2778" s="189">
        <f t="shared" si="269"/>
        <v>1881.58</v>
      </c>
      <c r="L2778" s="189"/>
      <c r="M2778" s="138"/>
      <c r="N2778" s="138"/>
      <c r="O2778" s="138"/>
      <c r="S2778" s="72"/>
      <c r="T2778" s="72"/>
      <c r="U2778" s="72"/>
      <c r="V2778" s="72"/>
    </row>
    <row r="2779" spans="1:22" s="63" customFormat="1" ht="22.5" x14ac:dyDescent="0.25">
      <c r="A2779" s="87">
        <v>23.28</v>
      </c>
      <c r="B2779" s="81" t="s">
        <v>86</v>
      </c>
      <c r="C2779" s="80">
        <v>21.1</v>
      </c>
      <c r="D2779" s="131" t="s">
        <v>2567</v>
      </c>
      <c r="E2779" s="83" t="s">
        <v>2568</v>
      </c>
      <c r="F2779" s="81" t="s">
        <v>219</v>
      </c>
      <c r="G2779" s="82">
        <v>4</v>
      </c>
      <c r="H2779" s="85"/>
      <c r="I2779" s="86">
        <v>3354.86</v>
      </c>
      <c r="J2779" s="185">
        <f t="shared" si="268"/>
        <v>954.96</v>
      </c>
      <c r="K2779" s="189">
        <f t="shared" si="269"/>
        <v>3819.84</v>
      </c>
      <c r="L2779" s="189"/>
      <c r="M2779" s="138"/>
      <c r="N2779" s="138"/>
      <c r="O2779" s="138"/>
      <c r="S2779" s="72"/>
      <c r="T2779" s="72"/>
      <c r="U2779" s="72"/>
      <c r="V2779" s="72"/>
    </row>
    <row r="2780" spans="1:22" s="63" customFormat="1" ht="33.75" x14ac:dyDescent="0.25">
      <c r="A2780" s="87">
        <v>23.29</v>
      </c>
      <c r="B2780" s="81" t="s">
        <v>86</v>
      </c>
      <c r="C2780" s="80">
        <v>21.2</v>
      </c>
      <c r="D2780" s="131" t="s">
        <v>2569</v>
      </c>
      <c r="E2780" s="83" t="s">
        <v>2570</v>
      </c>
      <c r="F2780" s="81" t="s">
        <v>334</v>
      </c>
      <c r="G2780" s="87">
        <v>169.68</v>
      </c>
      <c r="H2780" s="85"/>
      <c r="I2780" s="86">
        <v>106467.56</v>
      </c>
      <c r="J2780" s="185">
        <f t="shared" si="268"/>
        <v>714.43</v>
      </c>
      <c r="K2780" s="189">
        <f t="shared" si="269"/>
        <v>121224.48</v>
      </c>
      <c r="L2780" s="189"/>
      <c r="M2780" s="138"/>
      <c r="N2780" s="138"/>
      <c r="O2780" s="138"/>
      <c r="S2780" s="72"/>
      <c r="T2780" s="72"/>
      <c r="U2780" s="72"/>
      <c r="V2780" s="72"/>
    </row>
    <row r="2781" spans="1:22" s="63" customFormat="1" ht="22.5" x14ac:dyDescent="0.25">
      <c r="A2781" s="87">
        <v>23.3</v>
      </c>
      <c r="B2781" s="81" t="s">
        <v>86</v>
      </c>
      <c r="C2781" s="80">
        <v>21.3</v>
      </c>
      <c r="D2781" s="131" t="s">
        <v>2571</v>
      </c>
      <c r="E2781" s="83" t="s">
        <v>2572</v>
      </c>
      <c r="F2781" s="81" t="s">
        <v>219</v>
      </c>
      <c r="G2781" s="82">
        <v>31</v>
      </c>
      <c r="H2781" s="85"/>
      <c r="I2781" s="86">
        <v>9031.94</v>
      </c>
      <c r="J2781" s="185">
        <f t="shared" si="268"/>
        <v>331.73</v>
      </c>
      <c r="K2781" s="189">
        <f t="shared" si="269"/>
        <v>10283.629999999999</v>
      </c>
      <c r="L2781" s="189"/>
      <c r="M2781" s="138"/>
      <c r="N2781" s="138"/>
      <c r="O2781" s="138"/>
      <c r="S2781" s="72"/>
      <c r="T2781" s="72"/>
      <c r="U2781" s="72"/>
      <c r="V2781" s="72"/>
    </row>
    <row r="2782" spans="1:22" s="63" customFormat="1" ht="22.5" x14ac:dyDescent="0.25">
      <c r="A2782" s="87">
        <v>23.31</v>
      </c>
      <c r="B2782" s="81" t="s">
        <v>86</v>
      </c>
      <c r="C2782" s="80">
        <v>21.4</v>
      </c>
      <c r="D2782" s="131" t="s">
        <v>2573</v>
      </c>
      <c r="E2782" s="83" t="s">
        <v>2574</v>
      </c>
      <c r="F2782" s="81" t="s">
        <v>216</v>
      </c>
      <c r="G2782" s="87">
        <v>0.62</v>
      </c>
      <c r="H2782" s="85"/>
      <c r="I2782" s="86">
        <v>2675.72</v>
      </c>
      <c r="J2782" s="185">
        <f t="shared" si="268"/>
        <v>4913.83</v>
      </c>
      <c r="K2782" s="189">
        <f t="shared" si="269"/>
        <v>3046.57</v>
      </c>
      <c r="L2782" s="189"/>
      <c r="M2782" s="138"/>
      <c r="N2782" s="138"/>
      <c r="O2782" s="138"/>
      <c r="S2782" s="72"/>
      <c r="T2782" s="72"/>
      <c r="U2782" s="72"/>
      <c r="V2782" s="72"/>
    </row>
    <row r="2783" spans="1:22" s="63" customFormat="1" ht="22.5" x14ac:dyDescent="0.25">
      <c r="A2783" s="87">
        <v>23.32</v>
      </c>
      <c r="B2783" s="81" t="s">
        <v>86</v>
      </c>
      <c r="C2783" s="82">
        <v>22</v>
      </c>
      <c r="D2783" s="131" t="s">
        <v>2565</v>
      </c>
      <c r="E2783" s="83" t="s">
        <v>2566</v>
      </c>
      <c r="F2783" s="81" t="s">
        <v>216</v>
      </c>
      <c r="G2783" s="87">
        <v>0.24</v>
      </c>
      <c r="H2783" s="85"/>
      <c r="I2783" s="86">
        <v>9916.44</v>
      </c>
      <c r="J2783" s="185">
        <f t="shared" si="268"/>
        <v>47045.24</v>
      </c>
      <c r="K2783" s="189">
        <f t="shared" si="269"/>
        <v>11290.86</v>
      </c>
      <c r="L2783" s="189"/>
      <c r="M2783" s="138"/>
      <c r="N2783" s="138"/>
      <c r="O2783" s="138"/>
      <c r="S2783" s="72"/>
      <c r="T2783" s="72"/>
      <c r="U2783" s="72"/>
      <c r="V2783" s="72"/>
    </row>
    <row r="2784" spans="1:22" s="63" customFormat="1" ht="22.5" x14ac:dyDescent="0.25">
      <c r="A2784" s="87">
        <v>23.33</v>
      </c>
      <c r="B2784" s="81" t="s">
        <v>86</v>
      </c>
      <c r="C2784" s="80">
        <v>22.1</v>
      </c>
      <c r="D2784" s="131" t="s">
        <v>2575</v>
      </c>
      <c r="E2784" s="83" t="s">
        <v>2576</v>
      </c>
      <c r="F2784" s="81" t="s">
        <v>219</v>
      </c>
      <c r="G2784" s="82">
        <v>24</v>
      </c>
      <c r="H2784" s="85"/>
      <c r="I2784" s="86">
        <v>28607.1</v>
      </c>
      <c r="J2784" s="185">
        <f t="shared" si="268"/>
        <v>1357.17</v>
      </c>
      <c r="K2784" s="189">
        <f t="shared" si="269"/>
        <v>32572.080000000002</v>
      </c>
      <c r="L2784" s="189"/>
      <c r="M2784" s="138"/>
      <c r="N2784" s="138"/>
      <c r="O2784" s="138"/>
      <c r="S2784" s="72"/>
      <c r="T2784" s="72"/>
      <c r="U2784" s="72"/>
      <c r="V2784" s="72"/>
    </row>
    <row r="2785" spans="1:22" s="63" customFormat="1" ht="22.5" x14ac:dyDescent="0.25">
      <c r="A2785" s="87">
        <v>23.34</v>
      </c>
      <c r="B2785" s="81" t="s">
        <v>86</v>
      </c>
      <c r="C2785" s="82">
        <v>23</v>
      </c>
      <c r="D2785" s="131" t="s">
        <v>671</v>
      </c>
      <c r="E2785" s="83" t="s">
        <v>672</v>
      </c>
      <c r="F2785" s="81" t="s">
        <v>566</v>
      </c>
      <c r="G2785" s="80">
        <v>0.1</v>
      </c>
      <c r="H2785" s="85"/>
      <c r="I2785" s="86">
        <v>1180.75</v>
      </c>
      <c r="J2785" s="185">
        <f t="shared" si="268"/>
        <v>13444.02</v>
      </c>
      <c r="K2785" s="189">
        <f t="shared" si="269"/>
        <v>1344.4</v>
      </c>
      <c r="L2785" s="189"/>
      <c r="M2785" s="138"/>
      <c r="N2785" s="138"/>
      <c r="O2785" s="138"/>
      <c r="S2785" s="72"/>
      <c r="T2785" s="72"/>
      <c r="U2785" s="72"/>
      <c r="V2785" s="72"/>
    </row>
    <row r="2786" spans="1:22" s="63" customFormat="1" ht="22.5" x14ac:dyDescent="0.25">
      <c r="A2786" s="87">
        <v>23.35</v>
      </c>
      <c r="B2786" s="81" t="s">
        <v>86</v>
      </c>
      <c r="C2786" s="80">
        <v>23.1</v>
      </c>
      <c r="D2786" s="131" t="s">
        <v>2577</v>
      </c>
      <c r="E2786" s="83" t="s">
        <v>4016</v>
      </c>
      <c r="F2786" s="81" t="s">
        <v>219</v>
      </c>
      <c r="G2786" s="82">
        <v>1</v>
      </c>
      <c r="H2786" s="85"/>
      <c r="I2786" s="86">
        <v>54033.65</v>
      </c>
      <c r="J2786" s="185">
        <f t="shared" si="268"/>
        <v>61522.71</v>
      </c>
      <c r="K2786" s="189">
        <f t="shared" si="269"/>
        <v>61522.71</v>
      </c>
      <c r="L2786" s="189"/>
      <c r="M2786" s="138"/>
      <c r="N2786" s="138"/>
      <c r="O2786" s="138"/>
      <c r="S2786" s="72"/>
      <c r="T2786" s="72"/>
      <c r="U2786" s="72"/>
      <c r="V2786" s="72"/>
    </row>
    <row r="2787" spans="1:22" s="128" customFormat="1" ht="12.75" x14ac:dyDescent="0.25">
      <c r="A2787" s="237"/>
      <c r="B2787" s="125"/>
      <c r="C2787" s="236"/>
      <c r="D2787" s="77"/>
      <c r="E2787" s="126" t="s">
        <v>3379</v>
      </c>
      <c r="F2787" s="125"/>
      <c r="G2787" s="76"/>
      <c r="H2787" s="127"/>
      <c r="I2787" s="78"/>
      <c r="J2787" s="238"/>
      <c r="K2787" s="239"/>
      <c r="L2787" s="239"/>
      <c r="M2787" s="79"/>
      <c r="N2787" s="79"/>
      <c r="O2787" s="79"/>
      <c r="S2787" s="129"/>
      <c r="T2787" s="129"/>
      <c r="U2787" s="129"/>
      <c r="V2787" s="129"/>
    </row>
    <row r="2788" spans="1:22" s="63" customFormat="1" ht="22.5" x14ac:dyDescent="0.25">
      <c r="A2788" s="87">
        <v>23.36</v>
      </c>
      <c r="B2788" s="81" t="s">
        <v>86</v>
      </c>
      <c r="C2788" s="82">
        <v>24</v>
      </c>
      <c r="D2788" s="131" t="s">
        <v>2578</v>
      </c>
      <c r="E2788" s="83" t="s">
        <v>2579</v>
      </c>
      <c r="F2788" s="81" t="s">
        <v>2350</v>
      </c>
      <c r="G2788" s="84">
        <v>4.0000000000000001E-3</v>
      </c>
      <c r="H2788" s="85"/>
      <c r="I2788" s="86">
        <v>2223.5500000000002</v>
      </c>
      <c r="J2788" s="185">
        <f t="shared" ref="J2788:J2795" si="270">ROUND($I2788/$G2788*$N$11,2)</f>
        <v>632933.51</v>
      </c>
      <c r="K2788" s="189">
        <f t="shared" ref="K2788:K2795" si="271">ROUND(G2788*J2788,2)</f>
        <v>2531.73</v>
      </c>
      <c r="L2788" s="189"/>
      <c r="M2788" s="138"/>
      <c r="N2788" s="138"/>
      <c r="O2788" s="138"/>
      <c r="S2788" s="72"/>
      <c r="T2788" s="72"/>
      <c r="U2788" s="72"/>
      <c r="V2788" s="72"/>
    </row>
    <row r="2789" spans="1:22" s="63" customFormat="1" ht="33.75" x14ac:dyDescent="0.25">
      <c r="A2789" s="87">
        <v>23.37</v>
      </c>
      <c r="B2789" s="81" t="s">
        <v>86</v>
      </c>
      <c r="C2789" s="80">
        <v>24.1</v>
      </c>
      <c r="D2789" s="131" t="s">
        <v>2580</v>
      </c>
      <c r="E2789" s="83" t="s">
        <v>2581</v>
      </c>
      <c r="F2789" s="81" t="s">
        <v>334</v>
      </c>
      <c r="G2789" s="84">
        <v>4.016</v>
      </c>
      <c r="H2789" s="85"/>
      <c r="I2789" s="86">
        <v>1900.76</v>
      </c>
      <c r="J2789" s="185">
        <f t="shared" si="270"/>
        <v>538.9</v>
      </c>
      <c r="K2789" s="189">
        <f t="shared" si="271"/>
        <v>2164.2199999999998</v>
      </c>
      <c r="L2789" s="189"/>
      <c r="M2789" s="138"/>
      <c r="N2789" s="138"/>
      <c r="O2789" s="138"/>
      <c r="S2789" s="72"/>
      <c r="T2789" s="72"/>
      <c r="U2789" s="72"/>
      <c r="V2789" s="72"/>
    </row>
    <row r="2790" spans="1:22" s="63" customFormat="1" ht="15" x14ac:dyDescent="0.25">
      <c r="A2790" s="87">
        <v>23.38</v>
      </c>
      <c r="B2790" s="81" t="s">
        <v>86</v>
      </c>
      <c r="C2790" s="82">
        <v>25</v>
      </c>
      <c r="D2790" s="131" t="s">
        <v>2474</v>
      </c>
      <c r="E2790" s="83" t="s">
        <v>2475</v>
      </c>
      <c r="F2790" s="81" t="s">
        <v>226</v>
      </c>
      <c r="G2790" s="88">
        <v>2.3999999999999998E-3</v>
      </c>
      <c r="H2790" s="85"/>
      <c r="I2790" s="86">
        <v>2067.7800000000002</v>
      </c>
      <c r="J2790" s="185">
        <f t="shared" si="270"/>
        <v>980989.3</v>
      </c>
      <c r="K2790" s="189">
        <f t="shared" si="271"/>
        <v>2354.37</v>
      </c>
      <c r="L2790" s="189"/>
      <c r="M2790" s="138"/>
      <c r="N2790" s="138"/>
      <c r="O2790" s="138"/>
      <c r="S2790" s="72"/>
      <c r="T2790" s="72"/>
      <c r="U2790" s="72"/>
      <c r="V2790" s="72"/>
    </row>
    <row r="2791" spans="1:22" s="63" customFormat="1" ht="22.5" x14ac:dyDescent="0.25">
      <c r="A2791" s="87">
        <v>23.39</v>
      </c>
      <c r="B2791" s="81" t="s">
        <v>86</v>
      </c>
      <c r="C2791" s="80">
        <v>25.1</v>
      </c>
      <c r="D2791" s="131" t="s">
        <v>2501</v>
      </c>
      <c r="E2791" s="83" t="s">
        <v>2502</v>
      </c>
      <c r="F2791" s="81" t="s">
        <v>219</v>
      </c>
      <c r="G2791" s="82">
        <v>2</v>
      </c>
      <c r="H2791" s="85"/>
      <c r="I2791" s="86">
        <v>506.87</v>
      </c>
      <c r="J2791" s="185">
        <f t="shared" si="270"/>
        <v>288.56</v>
      </c>
      <c r="K2791" s="189">
        <f t="shared" si="271"/>
        <v>577.12</v>
      </c>
      <c r="L2791" s="189"/>
      <c r="M2791" s="138"/>
      <c r="N2791" s="138"/>
      <c r="O2791" s="138"/>
      <c r="S2791" s="72"/>
      <c r="T2791" s="72"/>
      <c r="U2791" s="72"/>
      <c r="V2791" s="72"/>
    </row>
    <row r="2792" spans="1:22" s="63" customFormat="1" ht="22.5" x14ac:dyDescent="0.25">
      <c r="A2792" s="87">
        <v>23.4</v>
      </c>
      <c r="B2792" s="81" t="s">
        <v>86</v>
      </c>
      <c r="C2792" s="82">
        <v>26</v>
      </c>
      <c r="D2792" s="131" t="s">
        <v>2582</v>
      </c>
      <c r="E2792" s="83" t="s">
        <v>2583</v>
      </c>
      <c r="F2792" s="81" t="s">
        <v>2350</v>
      </c>
      <c r="G2792" s="84">
        <v>4.0000000000000001E-3</v>
      </c>
      <c r="H2792" s="85"/>
      <c r="I2792" s="86">
        <v>811.77</v>
      </c>
      <c r="J2792" s="185">
        <f t="shared" si="270"/>
        <v>231070.33</v>
      </c>
      <c r="K2792" s="189">
        <f t="shared" si="271"/>
        <v>924.28</v>
      </c>
      <c r="L2792" s="189"/>
      <c r="M2792" s="138"/>
      <c r="N2792" s="138"/>
      <c r="O2792" s="138"/>
      <c r="S2792" s="72"/>
      <c r="T2792" s="72"/>
      <c r="U2792" s="72"/>
      <c r="V2792" s="72"/>
    </row>
    <row r="2793" spans="1:22" s="63" customFormat="1" ht="22.5" x14ac:dyDescent="0.25">
      <c r="A2793" s="87">
        <v>23.41</v>
      </c>
      <c r="B2793" s="81" t="s">
        <v>86</v>
      </c>
      <c r="C2793" s="80">
        <v>26.1</v>
      </c>
      <c r="D2793" s="131" t="s">
        <v>2584</v>
      </c>
      <c r="E2793" s="83" t="s">
        <v>2585</v>
      </c>
      <c r="F2793" s="81" t="s">
        <v>226</v>
      </c>
      <c r="G2793" s="88">
        <v>2.0000000000000001E-4</v>
      </c>
      <c r="H2793" s="85"/>
      <c r="I2793" s="86">
        <v>16.43</v>
      </c>
      <c r="J2793" s="185">
        <f t="shared" si="270"/>
        <v>93535.99</v>
      </c>
      <c r="K2793" s="189">
        <f t="shared" si="271"/>
        <v>18.71</v>
      </c>
      <c r="L2793" s="189"/>
      <c r="M2793" s="138"/>
      <c r="N2793" s="138"/>
      <c r="O2793" s="138"/>
      <c r="S2793" s="72"/>
      <c r="T2793" s="72"/>
      <c r="U2793" s="72"/>
      <c r="V2793" s="72"/>
    </row>
    <row r="2794" spans="1:22" s="63" customFormat="1" ht="22.5" x14ac:dyDescent="0.25">
      <c r="A2794" s="87">
        <v>23.42</v>
      </c>
      <c r="B2794" s="81" t="s">
        <v>86</v>
      </c>
      <c r="C2794" s="80">
        <v>26.2</v>
      </c>
      <c r="D2794" s="131" t="s">
        <v>2586</v>
      </c>
      <c r="E2794" s="83" t="s">
        <v>2587</v>
      </c>
      <c r="F2794" s="81" t="s">
        <v>370</v>
      </c>
      <c r="G2794" s="87">
        <v>1.68</v>
      </c>
      <c r="H2794" s="85"/>
      <c r="I2794" s="86">
        <v>461.4</v>
      </c>
      <c r="J2794" s="185">
        <f t="shared" si="270"/>
        <v>312.70999999999998</v>
      </c>
      <c r="K2794" s="189">
        <f t="shared" si="271"/>
        <v>525.35</v>
      </c>
      <c r="L2794" s="189"/>
      <c r="M2794" s="138"/>
      <c r="N2794" s="138"/>
      <c r="O2794" s="138"/>
      <c r="S2794" s="72"/>
      <c r="T2794" s="72"/>
      <c r="U2794" s="72"/>
      <c r="V2794" s="72"/>
    </row>
    <row r="2795" spans="1:22" s="63" customFormat="1" ht="22.5" x14ac:dyDescent="0.25">
      <c r="A2795" s="87">
        <v>23.43</v>
      </c>
      <c r="B2795" s="81" t="s">
        <v>86</v>
      </c>
      <c r="C2795" s="80">
        <v>26.3</v>
      </c>
      <c r="D2795" s="131" t="s">
        <v>2588</v>
      </c>
      <c r="E2795" s="83" t="s">
        <v>2589</v>
      </c>
      <c r="F2795" s="81" t="s">
        <v>370</v>
      </c>
      <c r="G2795" s="87">
        <v>1.68</v>
      </c>
      <c r="H2795" s="85"/>
      <c r="I2795" s="86">
        <v>391.87</v>
      </c>
      <c r="J2795" s="185">
        <f t="shared" si="270"/>
        <v>265.58999999999997</v>
      </c>
      <c r="K2795" s="189">
        <f t="shared" si="271"/>
        <v>446.19</v>
      </c>
      <c r="L2795" s="189"/>
      <c r="M2795" s="138"/>
      <c r="N2795" s="138"/>
      <c r="O2795" s="138"/>
      <c r="S2795" s="72"/>
      <c r="T2795" s="72"/>
      <c r="U2795" s="72"/>
      <c r="V2795" s="72"/>
    </row>
    <row r="2796" spans="1:22" s="128" customFormat="1" ht="12.75" x14ac:dyDescent="0.25">
      <c r="A2796" s="237"/>
      <c r="B2796" s="125"/>
      <c r="C2796" s="236"/>
      <c r="D2796" s="77"/>
      <c r="E2796" s="126" t="s">
        <v>3380</v>
      </c>
      <c r="F2796" s="125"/>
      <c r="G2796" s="237"/>
      <c r="H2796" s="127"/>
      <c r="I2796" s="78"/>
      <c r="J2796" s="238"/>
      <c r="K2796" s="239"/>
      <c r="L2796" s="239"/>
      <c r="M2796" s="79"/>
      <c r="N2796" s="79"/>
      <c r="O2796" s="79"/>
      <c r="S2796" s="129"/>
      <c r="T2796" s="129"/>
      <c r="U2796" s="129"/>
      <c r="V2796" s="129"/>
    </row>
    <row r="2797" spans="1:22" s="63" customFormat="1" ht="22.5" x14ac:dyDescent="0.25">
      <c r="A2797" s="87">
        <v>23.44</v>
      </c>
      <c r="B2797" s="81" t="s">
        <v>86</v>
      </c>
      <c r="C2797" s="82">
        <v>27</v>
      </c>
      <c r="D2797" s="131" t="s">
        <v>2590</v>
      </c>
      <c r="E2797" s="83" t="s">
        <v>2591</v>
      </c>
      <c r="F2797" s="81" t="s">
        <v>319</v>
      </c>
      <c r="G2797" s="84">
        <v>0.65600000000000003</v>
      </c>
      <c r="H2797" s="85"/>
      <c r="I2797" s="86">
        <v>172170.7</v>
      </c>
      <c r="J2797" s="185">
        <f t="shared" ref="J2797:J2807" si="272">ROUND($I2797/$G2797*$N$11,2)</f>
        <v>298831.64</v>
      </c>
      <c r="K2797" s="189">
        <f t="shared" ref="K2797:K2807" si="273">ROUND(G2797*J2797,2)</f>
        <v>196033.56</v>
      </c>
      <c r="L2797" s="189"/>
      <c r="M2797" s="138"/>
      <c r="N2797" s="138"/>
      <c r="O2797" s="138"/>
      <c r="S2797" s="72"/>
      <c r="T2797" s="72"/>
      <c r="U2797" s="72"/>
      <c r="V2797" s="72"/>
    </row>
    <row r="2798" spans="1:22" s="63" customFormat="1" ht="22.5" x14ac:dyDescent="0.25">
      <c r="A2798" s="87">
        <v>23.45</v>
      </c>
      <c r="B2798" s="81" t="s">
        <v>86</v>
      </c>
      <c r="C2798" s="80">
        <v>27.1</v>
      </c>
      <c r="D2798" s="131" t="s">
        <v>2592</v>
      </c>
      <c r="E2798" s="83" t="s">
        <v>2593</v>
      </c>
      <c r="F2798" s="81" t="s">
        <v>205</v>
      </c>
      <c r="G2798" s="89">
        <v>-1.27264</v>
      </c>
      <c r="H2798" s="85"/>
      <c r="I2798" s="86">
        <v>-12805.76</v>
      </c>
      <c r="J2798" s="185">
        <f t="shared" si="272"/>
        <v>11457</v>
      </c>
      <c r="K2798" s="189">
        <f t="shared" si="273"/>
        <v>-14580.64</v>
      </c>
      <c r="L2798" s="189"/>
      <c r="M2798" s="138"/>
      <c r="N2798" s="138"/>
      <c r="O2798" s="138"/>
      <c r="S2798" s="72"/>
      <c r="T2798" s="72"/>
      <c r="U2798" s="72"/>
      <c r="V2798" s="72"/>
    </row>
    <row r="2799" spans="1:22" s="63" customFormat="1" ht="22.5" x14ac:dyDescent="0.25">
      <c r="A2799" s="87">
        <v>23.46</v>
      </c>
      <c r="B2799" s="81" t="s">
        <v>86</v>
      </c>
      <c r="C2799" s="80">
        <v>27.2</v>
      </c>
      <c r="D2799" s="131" t="s">
        <v>2594</v>
      </c>
      <c r="E2799" s="83" t="s">
        <v>2595</v>
      </c>
      <c r="F2799" s="81" t="s">
        <v>205</v>
      </c>
      <c r="G2799" s="89">
        <v>7.8719999999999998E-2</v>
      </c>
      <c r="H2799" s="85"/>
      <c r="I2799" s="86">
        <v>340.02</v>
      </c>
      <c r="J2799" s="185">
        <f t="shared" si="272"/>
        <v>4918.0200000000004</v>
      </c>
      <c r="K2799" s="189">
        <f t="shared" si="273"/>
        <v>387.15</v>
      </c>
      <c r="L2799" s="189"/>
      <c r="M2799" s="138"/>
      <c r="N2799" s="138"/>
      <c r="O2799" s="138"/>
      <c r="S2799" s="72"/>
      <c r="T2799" s="72"/>
      <c r="U2799" s="72"/>
      <c r="V2799" s="72"/>
    </row>
    <row r="2800" spans="1:22" s="63" customFormat="1" ht="22.5" x14ac:dyDescent="0.25">
      <c r="A2800" s="87">
        <v>23.47</v>
      </c>
      <c r="B2800" s="81" t="s">
        <v>86</v>
      </c>
      <c r="C2800" s="80">
        <v>27.3</v>
      </c>
      <c r="D2800" s="131" t="s">
        <v>2596</v>
      </c>
      <c r="E2800" s="83" t="s">
        <v>2597</v>
      </c>
      <c r="F2800" s="81" t="s">
        <v>226</v>
      </c>
      <c r="G2800" s="90">
        <v>1.1152E-2</v>
      </c>
      <c r="H2800" s="85"/>
      <c r="I2800" s="86">
        <v>721.23</v>
      </c>
      <c r="J2800" s="185">
        <f t="shared" si="272"/>
        <v>73636.34</v>
      </c>
      <c r="K2800" s="189">
        <f t="shared" si="273"/>
        <v>821.19</v>
      </c>
      <c r="L2800" s="189"/>
      <c r="M2800" s="138"/>
      <c r="N2800" s="138"/>
      <c r="O2800" s="138"/>
      <c r="S2800" s="72"/>
      <c r="T2800" s="72"/>
      <c r="U2800" s="72"/>
      <c r="V2800" s="72"/>
    </row>
    <row r="2801" spans="1:22" s="63" customFormat="1" ht="22.5" x14ac:dyDescent="0.25">
      <c r="A2801" s="87">
        <v>23.48</v>
      </c>
      <c r="B2801" s="81" t="s">
        <v>86</v>
      </c>
      <c r="C2801" s="80">
        <v>27.4</v>
      </c>
      <c r="D2801" s="131" t="s">
        <v>2598</v>
      </c>
      <c r="E2801" s="83" t="s">
        <v>2599</v>
      </c>
      <c r="F2801" s="81" t="s">
        <v>1512</v>
      </c>
      <c r="G2801" s="82">
        <v>10</v>
      </c>
      <c r="H2801" s="85"/>
      <c r="I2801" s="86">
        <v>103762.98</v>
      </c>
      <c r="J2801" s="185">
        <f t="shared" si="272"/>
        <v>11814.45</v>
      </c>
      <c r="K2801" s="189">
        <f t="shared" si="273"/>
        <v>118144.5</v>
      </c>
      <c r="L2801" s="189"/>
      <c r="M2801" s="138"/>
      <c r="N2801" s="138"/>
      <c r="O2801" s="138"/>
      <c r="S2801" s="72"/>
      <c r="T2801" s="72"/>
      <c r="U2801" s="72"/>
      <c r="V2801" s="72"/>
    </row>
    <row r="2802" spans="1:22" s="63" customFormat="1" ht="22.5" x14ac:dyDescent="0.25">
      <c r="A2802" s="87">
        <v>23.49</v>
      </c>
      <c r="B2802" s="81" t="s">
        <v>86</v>
      </c>
      <c r="C2802" s="80">
        <v>27.5</v>
      </c>
      <c r="D2802" s="131" t="s">
        <v>2600</v>
      </c>
      <c r="E2802" s="83" t="s">
        <v>2601</v>
      </c>
      <c r="F2802" s="81" t="s">
        <v>1512</v>
      </c>
      <c r="G2802" s="82">
        <v>11</v>
      </c>
      <c r="H2802" s="85"/>
      <c r="I2802" s="86">
        <v>183816.27</v>
      </c>
      <c r="J2802" s="185">
        <f t="shared" si="272"/>
        <v>19026.66</v>
      </c>
      <c r="K2802" s="189">
        <f t="shared" si="273"/>
        <v>209293.26</v>
      </c>
      <c r="L2802" s="189"/>
      <c r="M2802" s="138"/>
      <c r="N2802" s="138"/>
      <c r="O2802" s="138"/>
      <c r="S2802" s="72"/>
      <c r="T2802" s="72"/>
      <c r="U2802" s="72"/>
      <c r="V2802" s="72"/>
    </row>
    <row r="2803" spans="1:22" s="63" customFormat="1" ht="22.5" x14ac:dyDescent="0.25">
      <c r="A2803" s="87">
        <v>23.5</v>
      </c>
      <c r="B2803" s="81" t="s">
        <v>86</v>
      </c>
      <c r="C2803" s="80">
        <v>27.6</v>
      </c>
      <c r="D2803" s="131" t="s">
        <v>2602</v>
      </c>
      <c r="E2803" s="83" t="s">
        <v>2603</v>
      </c>
      <c r="F2803" s="81" t="s">
        <v>1512</v>
      </c>
      <c r="G2803" s="82">
        <v>4</v>
      </c>
      <c r="H2803" s="85"/>
      <c r="I2803" s="86">
        <v>80882.95</v>
      </c>
      <c r="J2803" s="185">
        <f t="shared" si="272"/>
        <v>23023.33</v>
      </c>
      <c r="K2803" s="189">
        <f t="shared" si="273"/>
        <v>92093.32</v>
      </c>
      <c r="L2803" s="189"/>
      <c r="M2803" s="138"/>
      <c r="N2803" s="138"/>
      <c r="O2803" s="138"/>
      <c r="S2803" s="72"/>
      <c r="T2803" s="72"/>
      <c r="U2803" s="72"/>
      <c r="V2803" s="72"/>
    </row>
    <row r="2804" spans="1:22" s="63" customFormat="1" ht="22.5" x14ac:dyDescent="0.25">
      <c r="A2804" s="87">
        <v>23.51</v>
      </c>
      <c r="B2804" s="81" t="s">
        <v>86</v>
      </c>
      <c r="C2804" s="80">
        <v>27.7</v>
      </c>
      <c r="D2804" s="131" t="s">
        <v>2604</v>
      </c>
      <c r="E2804" s="83" t="s">
        <v>2605</v>
      </c>
      <c r="F2804" s="81" t="s">
        <v>1512</v>
      </c>
      <c r="G2804" s="82">
        <v>8</v>
      </c>
      <c r="H2804" s="85"/>
      <c r="I2804" s="86">
        <v>83010.33</v>
      </c>
      <c r="J2804" s="185">
        <f t="shared" si="272"/>
        <v>11814.45</v>
      </c>
      <c r="K2804" s="189">
        <f t="shared" si="273"/>
        <v>94515.6</v>
      </c>
      <c r="L2804" s="189"/>
      <c r="M2804" s="138"/>
      <c r="N2804" s="138"/>
      <c r="O2804" s="138"/>
      <c r="S2804" s="72"/>
      <c r="T2804" s="72"/>
      <c r="U2804" s="72"/>
      <c r="V2804" s="72"/>
    </row>
    <row r="2805" spans="1:22" s="63" customFormat="1" ht="22.5" x14ac:dyDescent="0.25">
      <c r="A2805" s="87">
        <v>23.52</v>
      </c>
      <c r="B2805" s="81" t="s">
        <v>86</v>
      </c>
      <c r="C2805" s="80">
        <v>27.8</v>
      </c>
      <c r="D2805" s="131" t="s">
        <v>2604</v>
      </c>
      <c r="E2805" s="83" t="s">
        <v>2606</v>
      </c>
      <c r="F2805" s="81" t="s">
        <v>1512</v>
      </c>
      <c r="G2805" s="82">
        <v>2</v>
      </c>
      <c r="H2805" s="85"/>
      <c r="I2805" s="86">
        <v>20752.560000000001</v>
      </c>
      <c r="J2805" s="185">
        <f t="shared" si="272"/>
        <v>11814.43</v>
      </c>
      <c r="K2805" s="189">
        <f t="shared" si="273"/>
        <v>23628.86</v>
      </c>
      <c r="L2805" s="189"/>
      <c r="M2805" s="138"/>
      <c r="N2805" s="138"/>
      <c r="O2805" s="138"/>
      <c r="S2805" s="72"/>
      <c r="T2805" s="72"/>
      <c r="U2805" s="72"/>
      <c r="V2805" s="72"/>
    </row>
    <row r="2806" spans="1:22" s="63" customFormat="1" ht="22.5" x14ac:dyDescent="0.25">
      <c r="A2806" s="87">
        <v>23.53</v>
      </c>
      <c r="B2806" s="81" t="s">
        <v>86</v>
      </c>
      <c r="C2806" s="80">
        <v>27.9</v>
      </c>
      <c r="D2806" s="131" t="s">
        <v>2607</v>
      </c>
      <c r="E2806" s="83" t="s">
        <v>2608</v>
      </c>
      <c r="F2806" s="81" t="s">
        <v>1512</v>
      </c>
      <c r="G2806" s="82">
        <v>10</v>
      </c>
      <c r="H2806" s="85"/>
      <c r="I2806" s="86">
        <v>89318.06</v>
      </c>
      <c r="J2806" s="185">
        <f t="shared" si="272"/>
        <v>10169.75</v>
      </c>
      <c r="K2806" s="189">
        <f t="shared" si="273"/>
        <v>101697.5</v>
      </c>
      <c r="L2806" s="189"/>
      <c r="M2806" s="138"/>
      <c r="N2806" s="138"/>
      <c r="O2806" s="138"/>
      <c r="S2806" s="72"/>
      <c r="T2806" s="72"/>
      <c r="U2806" s="72"/>
      <c r="V2806" s="72"/>
    </row>
    <row r="2807" spans="1:22" s="63" customFormat="1" ht="22.5" x14ac:dyDescent="0.25">
      <c r="A2807" s="87">
        <v>23.54</v>
      </c>
      <c r="B2807" s="81" t="s">
        <v>86</v>
      </c>
      <c r="C2807" s="87">
        <v>27.1</v>
      </c>
      <c r="D2807" s="131" t="s">
        <v>2609</v>
      </c>
      <c r="E2807" s="83" t="s">
        <v>2610</v>
      </c>
      <c r="F2807" s="81" t="s">
        <v>219</v>
      </c>
      <c r="G2807" s="82">
        <v>27</v>
      </c>
      <c r="H2807" s="85"/>
      <c r="I2807" s="86">
        <v>15378.21</v>
      </c>
      <c r="J2807" s="185">
        <f t="shared" si="272"/>
        <v>648.5</v>
      </c>
      <c r="K2807" s="189">
        <f t="shared" si="273"/>
        <v>17509.5</v>
      </c>
      <c r="L2807" s="189"/>
      <c r="M2807" s="138"/>
      <c r="N2807" s="138"/>
      <c r="O2807" s="138"/>
      <c r="S2807" s="72"/>
      <c r="T2807" s="72"/>
      <c r="U2807" s="72"/>
      <c r="V2807" s="72"/>
    </row>
    <row r="2808" spans="1:22" s="63" customFormat="1" ht="15" x14ac:dyDescent="0.25">
      <c r="A2808" s="87"/>
      <c r="B2808" s="81"/>
      <c r="C2808" s="87"/>
      <c r="D2808" s="131"/>
      <c r="E2808" s="126" t="s">
        <v>3381</v>
      </c>
      <c r="F2808" s="81"/>
      <c r="G2808" s="82"/>
      <c r="H2808" s="85"/>
      <c r="I2808" s="86"/>
      <c r="J2808" s="185"/>
      <c r="K2808" s="189"/>
      <c r="L2808" s="189"/>
      <c r="M2808" s="138"/>
      <c r="N2808" s="138"/>
      <c r="O2808" s="138"/>
      <c r="S2808" s="72"/>
      <c r="T2808" s="72"/>
      <c r="U2808" s="72"/>
      <c r="V2808" s="72"/>
    </row>
    <row r="2809" spans="1:22" s="63" customFormat="1" ht="22.5" x14ac:dyDescent="0.25">
      <c r="A2809" s="87">
        <v>23.55</v>
      </c>
      <c r="B2809" s="81" t="s">
        <v>86</v>
      </c>
      <c r="C2809" s="82">
        <v>28</v>
      </c>
      <c r="D2809" s="131" t="s">
        <v>2611</v>
      </c>
      <c r="E2809" s="83" t="s">
        <v>2612</v>
      </c>
      <c r="F2809" s="81" t="s">
        <v>319</v>
      </c>
      <c r="G2809" s="88">
        <v>0.40649999999999997</v>
      </c>
      <c r="H2809" s="85"/>
      <c r="I2809" s="86">
        <v>83782.929999999993</v>
      </c>
      <c r="J2809" s="185">
        <f t="shared" ref="J2809:J2824" si="274">ROUND($I2809/$G2809*$N$11,2)</f>
        <v>234674.65</v>
      </c>
      <c r="K2809" s="189">
        <f t="shared" ref="K2809:K2824" si="275">ROUND(G2809*J2809,2)</f>
        <v>95395.25</v>
      </c>
      <c r="L2809" s="189"/>
      <c r="M2809" s="138"/>
      <c r="N2809" s="138"/>
      <c r="O2809" s="138"/>
      <c r="S2809" s="72"/>
      <c r="T2809" s="72"/>
      <c r="U2809" s="72"/>
      <c r="V2809" s="72"/>
    </row>
    <row r="2810" spans="1:22" s="63" customFormat="1" ht="22.5" x14ac:dyDescent="0.25">
      <c r="A2810" s="87">
        <v>23.56</v>
      </c>
      <c r="B2810" s="81" t="s">
        <v>86</v>
      </c>
      <c r="C2810" s="80">
        <v>28.1</v>
      </c>
      <c r="D2810" s="131" t="s">
        <v>2592</v>
      </c>
      <c r="E2810" s="83" t="s">
        <v>2593</v>
      </c>
      <c r="F2810" s="81" t="s">
        <v>205</v>
      </c>
      <c r="G2810" s="89">
        <v>-0.83738999999999997</v>
      </c>
      <c r="H2810" s="85"/>
      <c r="I2810" s="86">
        <v>-8426.14</v>
      </c>
      <c r="J2810" s="185">
        <f t="shared" si="274"/>
        <v>11457.03</v>
      </c>
      <c r="K2810" s="189">
        <f t="shared" si="275"/>
        <v>-9594</v>
      </c>
      <c r="L2810" s="189"/>
      <c r="M2810" s="138"/>
      <c r="N2810" s="138"/>
      <c r="O2810" s="138"/>
      <c r="S2810" s="72"/>
      <c r="T2810" s="72"/>
      <c r="U2810" s="72"/>
      <c r="V2810" s="72"/>
    </row>
    <row r="2811" spans="1:22" s="63" customFormat="1" ht="22.5" x14ac:dyDescent="0.25">
      <c r="A2811" s="87">
        <v>23.57</v>
      </c>
      <c r="B2811" s="81" t="s">
        <v>86</v>
      </c>
      <c r="C2811" s="80">
        <v>28.2</v>
      </c>
      <c r="D2811" s="131" t="s">
        <v>2594</v>
      </c>
      <c r="E2811" s="83" t="s">
        <v>2595</v>
      </c>
      <c r="F2811" s="81" t="s">
        <v>205</v>
      </c>
      <c r="G2811" s="89">
        <v>4.8779999999999997E-2</v>
      </c>
      <c r="H2811" s="85"/>
      <c r="I2811" s="86">
        <v>210.72</v>
      </c>
      <c r="J2811" s="185">
        <f t="shared" si="274"/>
        <v>4918.53</v>
      </c>
      <c r="K2811" s="189">
        <f t="shared" si="275"/>
        <v>239.93</v>
      </c>
      <c r="L2811" s="189"/>
      <c r="M2811" s="138"/>
      <c r="N2811" s="138"/>
      <c r="O2811" s="138"/>
      <c r="S2811" s="72"/>
      <c r="T2811" s="72"/>
      <c r="U2811" s="72"/>
      <c r="V2811" s="72"/>
    </row>
    <row r="2812" spans="1:22" s="63" customFormat="1" ht="22.5" x14ac:dyDescent="0.25">
      <c r="A2812" s="87">
        <v>23.58</v>
      </c>
      <c r="B2812" s="81" t="s">
        <v>86</v>
      </c>
      <c r="C2812" s="80">
        <v>28.3</v>
      </c>
      <c r="D2812" s="131" t="s">
        <v>2596</v>
      </c>
      <c r="E2812" s="83" t="s">
        <v>2597</v>
      </c>
      <c r="F2812" s="81" t="s">
        <v>226</v>
      </c>
      <c r="G2812" s="90">
        <v>7.724E-3</v>
      </c>
      <c r="H2812" s="85"/>
      <c r="I2812" s="86">
        <v>499.5</v>
      </c>
      <c r="J2812" s="185">
        <f t="shared" si="274"/>
        <v>73631.63</v>
      </c>
      <c r="K2812" s="189">
        <f t="shared" si="275"/>
        <v>568.73</v>
      </c>
      <c r="L2812" s="189"/>
      <c r="M2812" s="138"/>
      <c r="N2812" s="138"/>
      <c r="O2812" s="138"/>
      <c r="S2812" s="72"/>
      <c r="T2812" s="72"/>
      <c r="U2812" s="72"/>
      <c r="V2812" s="72"/>
    </row>
    <row r="2813" spans="1:22" s="63" customFormat="1" ht="22.5" x14ac:dyDescent="0.25">
      <c r="A2813" s="87">
        <v>23.59</v>
      </c>
      <c r="B2813" s="81" t="s">
        <v>86</v>
      </c>
      <c r="C2813" s="80">
        <v>28.4</v>
      </c>
      <c r="D2813" s="131" t="s">
        <v>2613</v>
      </c>
      <c r="E2813" s="83" t="s">
        <v>4017</v>
      </c>
      <c r="F2813" s="81" t="s">
        <v>1512</v>
      </c>
      <c r="G2813" s="82">
        <v>3</v>
      </c>
      <c r="H2813" s="85"/>
      <c r="I2813" s="86">
        <v>62966.22</v>
      </c>
      <c r="J2813" s="185">
        <f t="shared" si="274"/>
        <v>23897.78</v>
      </c>
      <c r="K2813" s="189">
        <f t="shared" si="275"/>
        <v>71693.34</v>
      </c>
      <c r="L2813" s="189"/>
      <c r="M2813" s="138"/>
      <c r="N2813" s="138"/>
      <c r="O2813" s="138"/>
      <c r="S2813" s="72"/>
      <c r="T2813" s="72"/>
      <c r="U2813" s="72"/>
      <c r="V2813" s="72"/>
    </row>
    <row r="2814" spans="1:22" s="63" customFormat="1" ht="22.5" x14ac:dyDescent="0.25">
      <c r="A2814" s="87">
        <v>23.6</v>
      </c>
      <c r="B2814" s="81" t="s">
        <v>86</v>
      </c>
      <c r="C2814" s="80">
        <v>28.5</v>
      </c>
      <c r="D2814" s="131" t="s">
        <v>2614</v>
      </c>
      <c r="E2814" s="83" t="s">
        <v>4018</v>
      </c>
      <c r="F2814" s="81" t="s">
        <v>1512</v>
      </c>
      <c r="G2814" s="82">
        <v>1</v>
      </c>
      <c r="H2814" s="85"/>
      <c r="I2814" s="86">
        <v>26980.46</v>
      </c>
      <c r="J2814" s="185">
        <f t="shared" si="274"/>
        <v>30719.95</v>
      </c>
      <c r="K2814" s="189">
        <f t="shared" si="275"/>
        <v>30719.95</v>
      </c>
      <c r="L2814" s="189"/>
      <c r="M2814" s="138"/>
      <c r="N2814" s="138"/>
      <c r="O2814" s="138"/>
      <c r="S2814" s="72"/>
      <c r="T2814" s="72"/>
      <c r="U2814" s="72"/>
      <c r="V2814" s="72"/>
    </row>
    <row r="2815" spans="1:22" s="63" customFormat="1" ht="22.5" x14ac:dyDescent="0.25">
      <c r="A2815" s="87">
        <v>23.61</v>
      </c>
      <c r="B2815" s="81" t="s">
        <v>86</v>
      </c>
      <c r="C2815" s="80">
        <v>28.6</v>
      </c>
      <c r="D2815" s="131" t="s">
        <v>2615</v>
      </c>
      <c r="E2815" s="83" t="s">
        <v>4019</v>
      </c>
      <c r="F2815" s="81" t="s">
        <v>1512</v>
      </c>
      <c r="G2815" s="82">
        <v>4</v>
      </c>
      <c r="H2815" s="85"/>
      <c r="I2815" s="86">
        <v>128770.3</v>
      </c>
      <c r="J2815" s="185">
        <f t="shared" si="274"/>
        <v>36654.47</v>
      </c>
      <c r="K2815" s="189">
        <f t="shared" si="275"/>
        <v>146617.88</v>
      </c>
      <c r="L2815" s="189"/>
      <c r="M2815" s="138"/>
      <c r="N2815" s="138"/>
      <c r="O2815" s="138"/>
      <c r="S2815" s="72"/>
      <c r="T2815" s="72"/>
      <c r="U2815" s="72"/>
      <c r="V2815" s="72"/>
    </row>
    <row r="2816" spans="1:22" s="63" customFormat="1" ht="22.5" x14ac:dyDescent="0.25">
      <c r="A2816" s="87">
        <v>23.62</v>
      </c>
      <c r="B2816" s="81" t="s">
        <v>86</v>
      </c>
      <c r="C2816" s="80">
        <v>28.7</v>
      </c>
      <c r="D2816" s="131" t="s">
        <v>2616</v>
      </c>
      <c r="E2816" s="83" t="s">
        <v>4020</v>
      </c>
      <c r="F2816" s="81" t="s">
        <v>1512</v>
      </c>
      <c r="G2816" s="82">
        <v>2</v>
      </c>
      <c r="H2816" s="85"/>
      <c r="I2816" s="86">
        <v>41978.51</v>
      </c>
      <c r="J2816" s="185">
        <f t="shared" si="274"/>
        <v>23898.37</v>
      </c>
      <c r="K2816" s="189">
        <f t="shared" si="275"/>
        <v>47796.74</v>
      </c>
      <c r="L2816" s="189"/>
      <c r="M2816" s="138"/>
      <c r="N2816" s="138"/>
      <c r="O2816" s="138"/>
      <c r="S2816" s="72"/>
      <c r="T2816" s="72"/>
      <c r="U2816" s="72"/>
      <c r="V2816" s="72"/>
    </row>
    <row r="2817" spans="1:22" s="63" customFormat="1" ht="22.5" x14ac:dyDescent="0.25">
      <c r="A2817" s="87">
        <v>23.63</v>
      </c>
      <c r="B2817" s="81" t="s">
        <v>86</v>
      </c>
      <c r="C2817" s="80">
        <v>28.8</v>
      </c>
      <c r="D2817" s="131" t="s">
        <v>2616</v>
      </c>
      <c r="E2817" s="83" t="s">
        <v>4021</v>
      </c>
      <c r="F2817" s="81" t="s">
        <v>1512</v>
      </c>
      <c r="G2817" s="82">
        <v>1</v>
      </c>
      <c r="H2817" s="85"/>
      <c r="I2817" s="86">
        <v>20989.3</v>
      </c>
      <c r="J2817" s="185">
        <f t="shared" si="274"/>
        <v>23898.42</v>
      </c>
      <c r="K2817" s="189">
        <f t="shared" si="275"/>
        <v>23898.42</v>
      </c>
      <c r="L2817" s="189"/>
      <c r="M2817" s="138"/>
      <c r="N2817" s="138"/>
      <c r="O2817" s="138"/>
      <c r="S2817" s="72"/>
      <c r="T2817" s="72"/>
      <c r="U2817" s="72"/>
      <c r="V2817" s="72"/>
    </row>
    <row r="2818" spans="1:22" s="63" customFormat="1" ht="22.5" x14ac:dyDescent="0.25">
      <c r="A2818" s="87">
        <v>23.64</v>
      </c>
      <c r="B2818" s="81" t="s">
        <v>86</v>
      </c>
      <c r="C2818" s="80">
        <v>28.9</v>
      </c>
      <c r="D2818" s="131" t="s">
        <v>2607</v>
      </c>
      <c r="E2818" s="83" t="s">
        <v>4022</v>
      </c>
      <c r="F2818" s="81" t="s">
        <v>1512</v>
      </c>
      <c r="G2818" s="82">
        <v>3</v>
      </c>
      <c r="H2818" s="85"/>
      <c r="I2818" s="86">
        <v>26795.4</v>
      </c>
      <c r="J2818" s="185">
        <f t="shared" si="274"/>
        <v>10169.75</v>
      </c>
      <c r="K2818" s="189">
        <f t="shared" si="275"/>
        <v>30509.25</v>
      </c>
      <c r="L2818" s="189"/>
      <c r="M2818" s="138"/>
      <c r="N2818" s="138"/>
      <c r="O2818" s="138"/>
      <c r="S2818" s="72"/>
      <c r="T2818" s="72"/>
      <c r="U2818" s="72"/>
      <c r="V2818" s="72"/>
    </row>
    <row r="2819" spans="1:22" s="63" customFormat="1" ht="22.5" x14ac:dyDescent="0.25">
      <c r="A2819" s="87">
        <v>23.65</v>
      </c>
      <c r="B2819" s="81" t="s">
        <v>86</v>
      </c>
      <c r="C2819" s="87">
        <v>28.1</v>
      </c>
      <c r="D2819" s="131" t="s">
        <v>2609</v>
      </c>
      <c r="E2819" s="83" t="s">
        <v>2610</v>
      </c>
      <c r="F2819" s="81" t="s">
        <v>219</v>
      </c>
      <c r="G2819" s="82">
        <v>5</v>
      </c>
      <c r="H2819" s="85"/>
      <c r="I2819" s="86">
        <v>2847.82</v>
      </c>
      <c r="J2819" s="185">
        <f t="shared" si="274"/>
        <v>648.51</v>
      </c>
      <c r="K2819" s="189">
        <f t="shared" si="275"/>
        <v>3242.55</v>
      </c>
      <c r="L2819" s="189"/>
      <c r="M2819" s="138"/>
      <c r="N2819" s="138"/>
      <c r="O2819" s="138"/>
      <c r="S2819" s="72"/>
      <c r="T2819" s="72"/>
      <c r="U2819" s="72"/>
      <c r="V2819" s="72"/>
    </row>
    <row r="2820" spans="1:22" s="63" customFormat="1" ht="22.5" x14ac:dyDescent="0.25">
      <c r="A2820" s="87">
        <v>23.66</v>
      </c>
      <c r="B2820" s="81" t="s">
        <v>86</v>
      </c>
      <c r="C2820" s="87">
        <v>28.11</v>
      </c>
      <c r="D2820" s="131" t="s">
        <v>2617</v>
      </c>
      <c r="E2820" s="83" t="s">
        <v>2618</v>
      </c>
      <c r="F2820" s="81" t="s">
        <v>219</v>
      </c>
      <c r="G2820" s="82">
        <v>10</v>
      </c>
      <c r="H2820" s="85"/>
      <c r="I2820" s="86">
        <v>41218.300000000003</v>
      </c>
      <c r="J2820" s="185">
        <f t="shared" si="274"/>
        <v>4693.12</v>
      </c>
      <c r="K2820" s="189">
        <f t="shared" si="275"/>
        <v>46931.199999999997</v>
      </c>
      <c r="L2820" s="189"/>
      <c r="M2820" s="138"/>
      <c r="N2820" s="138"/>
      <c r="O2820" s="138"/>
      <c r="S2820" s="72"/>
      <c r="T2820" s="72"/>
      <c r="U2820" s="72"/>
      <c r="V2820" s="72"/>
    </row>
    <row r="2821" spans="1:22" s="63" customFormat="1" ht="22.5" x14ac:dyDescent="0.25">
      <c r="A2821" s="87">
        <v>23.67</v>
      </c>
      <c r="B2821" s="81" t="s">
        <v>86</v>
      </c>
      <c r="C2821" s="87">
        <v>28.12</v>
      </c>
      <c r="D2821" s="131" t="s">
        <v>2619</v>
      </c>
      <c r="E2821" s="83" t="s">
        <v>2620</v>
      </c>
      <c r="F2821" s="81" t="s">
        <v>219</v>
      </c>
      <c r="G2821" s="82">
        <v>3</v>
      </c>
      <c r="H2821" s="85"/>
      <c r="I2821" s="86">
        <v>15612.11</v>
      </c>
      <c r="J2821" s="185">
        <f t="shared" si="274"/>
        <v>5925.32</v>
      </c>
      <c r="K2821" s="189">
        <f t="shared" si="275"/>
        <v>17775.96</v>
      </c>
      <c r="L2821" s="189"/>
      <c r="M2821" s="138"/>
      <c r="N2821" s="138"/>
      <c r="O2821" s="138"/>
      <c r="S2821" s="72"/>
      <c r="T2821" s="72"/>
      <c r="U2821" s="72"/>
      <c r="V2821" s="72"/>
    </row>
    <row r="2822" spans="1:22" s="63" customFormat="1" ht="15" x14ac:dyDescent="0.25">
      <c r="A2822" s="87">
        <v>23.68</v>
      </c>
      <c r="B2822" s="81" t="s">
        <v>86</v>
      </c>
      <c r="C2822" s="87">
        <v>28.13</v>
      </c>
      <c r="D2822" s="131" t="s">
        <v>2621</v>
      </c>
      <c r="E2822" s="83" t="s">
        <v>4023</v>
      </c>
      <c r="F2822" s="81" t="s">
        <v>219</v>
      </c>
      <c r="G2822" s="82">
        <v>48</v>
      </c>
      <c r="H2822" s="85"/>
      <c r="I2822" s="86">
        <v>33972.39</v>
      </c>
      <c r="J2822" s="185">
        <f t="shared" si="274"/>
        <v>805.85</v>
      </c>
      <c r="K2822" s="189">
        <f t="shared" si="275"/>
        <v>38680.800000000003</v>
      </c>
      <c r="L2822" s="189"/>
      <c r="M2822" s="138"/>
      <c r="N2822" s="138"/>
      <c r="O2822" s="138"/>
      <c r="S2822" s="72"/>
      <c r="T2822" s="72"/>
      <c r="U2822" s="72"/>
      <c r="V2822" s="72"/>
    </row>
    <row r="2823" spans="1:22" s="63" customFormat="1" ht="22.5" x14ac:dyDescent="0.25">
      <c r="A2823" s="87">
        <v>23.69</v>
      </c>
      <c r="B2823" s="81" t="s">
        <v>86</v>
      </c>
      <c r="C2823" s="87">
        <v>28.14</v>
      </c>
      <c r="D2823" s="131" t="s">
        <v>2622</v>
      </c>
      <c r="E2823" s="83" t="s">
        <v>2623</v>
      </c>
      <c r="F2823" s="81" t="s">
        <v>226</v>
      </c>
      <c r="G2823" s="87">
        <v>0.17</v>
      </c>
      <c r="H2823" s="85"/>
      <c r="I2823" s="86">
        <v>43404.29</v>
      </c>
      <c r="J2823" s="185">
        <f t="shared" si="274"/>
        <v>290706.62</v>
      </c>
      <c r="K2823" s="189">
        <f t="shared" si="275"/>
        <v>49420.13</v>
      </c>
      <c r="L2823" s="189"/>
      <c r="M2823" s="138"/>
      <c r="N2823" s="138"/>
      <c r="O2823" s="138"/>
      <c r="S2823" s="72"/>
      <c r="T2823" s="72"/>
      <c r="U2823" s="72"/>
      <c r="V2823" s="72"/>
    </row>
    <row r="2824" spans="1:22" s="63" customFormat="1" ht="22.5" x14ac:dyDescent="0.25">
      <c r="A2824" s="87">
        <v>23.7</v>
      </c>
      <c r="B2824" s="81" t="s">
        <v>86</v>
      </c>
      <c r="C2824" s="82">
        <v>29</v>
      </c>
      <c r="D2824" s="131" t="s">
        <v>2624</v>
      </c>
      <c r="E2824" s="83" t="s">
        <v>2625</v>
      </c>
      <c r="F2824" s="81" t="s">
        <v>207</v>
      </c>
      <c r="G2824" s="84">
        <v>1.071</v>
      </c>
      <c r="H2824" s="85"/>
      <c r="I2824" s="86">
        <v>36542.870000000003</v>
      </c>
      <c r="J2824" s="185">
        <f t="shared" si="274"/>
        <v>38849.4</v>
      </c>
      <c r="K2824" s="189">
        <f t="shared" si="275"/>
        <v>41607.71</v>
      </c>
      <c r="L2824" s="189"/>
      <c r="M2824" s="138"/>
      <c r="N2824" s="138"/>
      <c r="O2824" s="138"/>
      <c r="S2824" s="72"/>
      <c r="T2824" s="72"/>
      <c r="U2824" s="72"/>
      <c r="V2824" s="72"/>
    </row>
    <row r="2825" spans="1:22" s="63" customFormat="1" ht="15" x14ac:dyDescent="0.25">
      <c r="A2825" s="194">
        <v>24</v>
      </c>
      <c r="B2825" s="418" t="s">
        <v>2626</v>
      </c>
      <c r="C2825" s="418"/>
      <c r="D2825" s="418"/>
      <c r="E2825" s="195" t="s">
        <v>85</v>
      </c>
      <c r="F2825" s="196"/>
      <c r="G2825" s="194"/>
      <c r="H2825" s="197">
        <v>4246257.8499999996</v>
      </c>
      <c r="I2825" s="355">
        <f>SUM(I2829:I3104)</f>
        <v>4246257.8699999992</v>
      </c>
      <c r="J2825" s="200"/>
      <c r="K2825" s="198">
        <f>SUM(K2829:K3104)</f>
        <v>4834350.3900000006</v>
      </c>
      <c r="L2825" s="198"/>
      <c r="M2825" s="207"/>
      <c r="N2825" s="209"/>
      <c r="O2825" s="138"/>
      <c r="S2825" s="72"/>
      <c r="T2825" s="72"/>
      <c r="U2825" s="72"/>
      <c r="V2825" s="72"/>
    </row>
    <row r="2826" spans="1:22" s="63" customFormat="1" ht="15" x14ac:dyDescent="0.25">
      <c r="A2826" s="91"/>
      <c r="B2826" s="92"/>
      <c r="C2826" s="92"/>
      <c r="D2826" s="166"/>
      <c r="E2826" s="93" t="s">
        <v>651</v>
      </c>
      <c r="F2826" s="94"/>
      <c r="G2826" s="91"/>
      <c r="H2826" s="95"/>
      <c r="I2826" s="96">
        <f>I2955</f>
        <v>21848.880000000001</v>
      </c>
      <c r="J2826" s="191"/>
      <c r="K2826" s="96">
        <f>K2955</f>
        <v>24437.97</v>
      </c>
      <c r="L2826" s="96"/>
      <c r="M2826" s="207"/>
      <c r="N2826" s="209"/>
      <c r="O2826" s="138"/>
      <c r="S2826" s="72"/>
      <c r="T2826" s="72"/>
      <c r="U2826" s="72"/>
      <c r="V2826" s="72"/>
    </row>
    <row r="2827" spans="1:22" s="278" customFormat="1" ht="15" x14ac:dyDescent="0.25">
      <c r="A2827" s="216"/>
      <c r="B2827" s="217"/>
      <c r="C2827" s="217"/>
      <c r="D2827" s="248"/>
      <c r="E2827" s="218" t="s">
        <v>3382</v>
      </c>
      <c r="F2827" s="219"/>
      <c r="G2827" s="216"/>
      <c r="H2827" s="220"/>
      <c r="I2827" s="221"/>
      <c r="J2827" s="244"/>
      <c r="K2827" s="221"/>
      <c r="L2827" s="221"/>
      <c r="M2827" s="222"/>
      <c r="N2827" s="223"/>
      <c r="O2827" s="245"/>
      <c r="S2827" s="225"/>
      <c r="T2827" s="225"/>
      <c r="U2827" s="225"/>
      <c r="V2827" s="225"/>
    </row>
    <row r="2828" spans="1:22" s="278" customFormat="1" ht="15" x14ac:dyDescent="0.25">
      <c r="A2828" s="216"/>
      <c r="B2828" s="217"/>
      <c r="C2828" s="217"/>
      <c r="D2828" s="248"/>
      <c r="E2828" s="218" t="s">
        <v>3383</v>
      </c>
      <c r="F2828" s="219"/>
      <c r="G2828" s="216"/>
      <c r="H2828" s="220"/>
      <c r="I2828" s="221"/>
      <c r="J2828" s="244"/>
      <c r="K2828" s="221"/>
      <c r="L2828" s="221"/>
      <c r="M2828" s="222"/>
      <c r="N2828" s="223"/>
      <c r="O2828" s="245"/>
      <c r="S2828" s="225"/>
      <c r="T2828" s="225"/>
      <c r="U2828" s="225"/>
      <c r="V2828" s="225"/>
    </row>
    <row r="2829" spans="1:22" s="63" customFormat="1" ht="22.5" x14ac:dyDescent="0.25">
      <c r="A2829" s="80">
        <v>24.1</v>
      </c>
      <c r="B2829" s="81" t="s">
        <v>88</v>
      </c>
      <c r="C2829" s="82">
        <v>1</v>
      </c>
      <c r="D2829" s="131" t="s">
        <v>2549</v>
      </c>
      <c r="E2829" s="83" t="s">
        <v>2550</v>
      </c>
      <c r="F2829" s="81" t="s">
        <v>193</v>
      </c>
      <c r="G2829" s="90">
        <v>2.8032999999999999E-2</v>
      </c>
      <c r="H2829" s="85"/>
      <c r="I2829" s="86">
        <f>2107.77+0.02</f>
        <v>2107.79</v>
      </c>
      <c r="J2829" s="185">
        <f t="shared" ref="J2829:J2846" si="276">ROUND($I2829/$G2829*$N$11,2)</f>
        <v>85610.880000000005</v>
      </c>
      <c r="K2829" s="189">
        <f t="shared" ref="K2829:K2846" si="277">ROUND(G2829*J2829,2)</f>
        <v>2399.9299999999998</v>
      </c>
      <c r="L2829" s="189"/>
      <c r="M2829" s="138"/>
      <c r="N2829" s="138"/>
      <c r="O2829" s="138"/>
      <c r="S2829" s="72"/>
      <c r="T2829" s="72"/>
      <c r="U2829" s="72"/>
      <c r="V2829" s="72"/>
    </row>
    <row r="2830" spans="1:22" s="63" customFormat="1" ht="22.5" x14ac:dyDescent="0.25">
      <c r="A2830" s="80">
        <v>24.2</v>
      </c>
      <c r="B2830" s="81" t="s">
        <v>88</v>
      </c>
      <c r="C2830" s="82">
        <v>2</v>
      </c>
      <c r="D2830" s="131" t="s">
        <v>194</v>
      </c>
      <c r="E2830" s="83" t="s">
        <v>195</v>
      </c>
      <c r="F2830" s="81" t="s">
        <v>196</v>
      </c>
      <c r="G2830" s="89">
        <v>8.6700000000000006E-3</v>
      </c>
      <c r="H2830" s="85"/>
      <c r="I2830" s="86">
        <v>994.37</v>
      </c>
      <c r="J2830" s="185">
        <f t="shared" si="276"/>
        <v>130587.05</v>
      </c>
      <c r="K2830" s="189">
        <f t="shared" si="277"/>
        <v>1132.19</v>
      </c>
      <c r="L2830" s="189"/>
      <c r="M2830" s="138"/>
      <c r="N2830" s="138"/>
      <c r="O2830" s="138"/>
      <c r="S2830" s="72"/>
      <c r="T2830" s="72"/>
      <c r="U2830" s="72"/>
      <c r="V2830" s="72"/>
    </row>
    <row r="2831" spans="1:22" s="63" customFormat="1" ht="15" x14ac:dyDescent="0.25">
      <c r="A2831" s="80">
        <v>24.3</v>
      </c>
      <c r="B2831" s="81" t="s">
        <v>88</v>
      </c>
      <c r="C2831" s="82">
        <v>3</v>
      </c>
      <c r="D2831" s="131" t="s">
        <v>2340</v>
      </c>
      <c r="E2831" s="83" t="s">
        <v>2341</v>
      </c>
      <c r="F2831" s="81" t="s">
        <v>319</v>
      </c>
      <c r="G2831" s="87">
        <v>0.04</v>
      </c>
      <c r="H2831" s="85"/>
      <c r="I2831" s="86">
        <v>432.35</v>
      </c>
      <c r="J2831" s="185">
        <f t="shared" si="276"/>
        <v>12306.84</v>
      </c>
      <c r="K2831" s="189">
        <f t="shared" si="277"/>
        <v>492.27</v>
      </c>
      <c r="L2831" s="189"/>
      <c r="M2831" s="138"/>
      <c r="N2831" s="138"/>
      <c r="O2831" s="138"/>
      <c r="S2831" s="72"/>
      <c r="T2831" s="72"/>
      <c r="U2831" s="72"/>
      <c r="V2831" s="72"/>
    </row>
    <row r="2832" spans="1:22" s="63" customFormat="1" ht="22.5" x14ac:dyDescent="0.25">
      <c r="A2832" s="80">
        <v>24.4</v>
      </c>
      <c r="B2832" s="81" t="s">
        <v>88</v>
      </c>
      <c r="C2832" s="80">
        <v>3.1</v>
      </c>
      <c r="D2832" s="131" t="s">
        <v>2372</v>
      </c>
      <c r="E2832" s="83" t="s">
        <v>2373</v>
      </c>
      <c r="F2832" s="81" t="s">
        <v>205</v>
      </c>
      <c r="G2832" s="87">
        <v>0.44</v>
      </c>
      <c r="H2832" s="85"/>
      <c r="I2832" s="86">
        <v>584.04</v>
      </c>
      <c r="J2832" s="185">
        <f t="shared" si="276"/>
        <v>1511.34</v>
      </c>
      <c r="K2832" s="189">
        <f t="shared" si="277"/>
        <v>664.99</v>
      </c>
      <c r="L2832" s="189"/>
      <c r="M2832" s="138"/>
      <c r="N2832" s="138"/>
      <c r="O2832" s="138"/>
      <c r="S2832" s="72"/>
      <c r="T2832" s="72"/>
      <c r="U2832" s="72"/>
      <c r="V2832" s="72"/>
    </row>
    <row r="2833" spans="1:22" s="63" customFormat="1" ht="22.5" x14ac:dyDescent="0.25">
      <c r="A2833" s="80">
        <v>24.5</v>
      </c>
      <c r="B2833" s="81" t="s">
        <v>88</v>
      </c>
      <c r="C2833" s="82">
        <v>4</v>
      </c>
      <c r="D2833" s="131" t="s">
        <v>2627</v>
      </c>
      <c r="E2833" s="83" t="s">
        <v>2628</v>
      </c>
      <c r="F2833" s="81" t="s">
        <v>193</v>
      </c>
      <c r="G2833" s="89">
        <v>1.8780000000000002E-2</v>
      </c>
      <c r="H2833" s="85"/>
      <c r="I2833" s="86">
        <v>149.56</v>
      </c>
      <c r="J2833" s="185">
        <f t="shared" si="276"/>
        <v>9067.57</v>
      </c>
      <c r="K2833" s="189">
        <f t="shared" si="277"/>
        <v>170.29</v>
      </c>
      <c r="L2833" s="189"/>
      <c r="M2833" s="138"/>
      <c r="N2833" s="138"/>
      <c r="O2833" s="138"/>
      <c r="S2833" s="72"/>
      <c r="T2833" s="72"/>
      <c r="U2833" s="72"/>
      <c r="V2833" s="72"/>
    </row>
    <row r="2834" spans="1:22" s="63" customFormat="1" ht="15" x14ac:dyDescent="0.25">
      <c r="A2834" s="80">
        <v>24.6</v>
      </c>
      <c r="B2834" s="81" t="s">
        <v>88</v>
      </c>
      <c r="C2834" s="82">
        <v>5</v>
      </c>
      <c r="D2834" s="131" t="s">
        <v>201</v>
      </c>
      <c r="E2834" s="83" t="s">
        <v>202</v>
      </c>
      <c r="F2834" s="81" t="s">
        <v>196</v>
      </c>
      <c r="G2834" s="88">
        <v>0.18779999999999999</v>
      </c>
      <c r="H2834" s="85"/>
      <c r="I2834" s="86">
        <v>3066.65</v>
      </c>
      <c r="J2834" s="185">
        <f t="shared" si="276"/>
        <v>18592.59</v>
      </c>
      <c r="K2834" s="189">
        <f t="shared" si="277"/>
        <v>3491.69</v>
      </c>
      <c r="L2834" s="189"/>
      <c r="M2834" s="138"/>
      <c r="N2834" s="138"/>
      <c r="O2834" s="138"/>
      <c r="S2834" s="72"/>
      <c r="T2834" s="72"/>
      <c r="U2834" s="72"/>
      <c r="V2834" s="72"/>
    </row>
    <row r="2835" spans="1:22" s="63" customFormat="1" ht="15" x14ac:dyDescent="0.25">
      <c r="A2835" s="80">
        <v>24.7</v>
      </c>
      <c r="B2835" s="81" t="s">
        <v>88</v>
      </c>
      <c r="C2835" s="82">
        <v>6</v>
      </c>
      <c r="D2835" s="131" t="s">
        <v>2629</v>
      </c>
      <c r="E2835" s="83" t="s">
        <v>2630</v>
      </c>
      <c r="F2835" s="81" t="s">
        <v>319</v>
      </c>
      <c r="G2835" s="84">
        <v>0.219</v>
      </c>
      <c r="H2835" s="85"/>
      <c r="I2835" s="86">
        <v>50847.85</v>
      </c>
      <c r="J2835" s="185">
        <f t="shared" si="276"/>
        <v>264362.38</v>
      </c>
      <c r="K2835" s="189">
        <f t="shared" si="277"/>
        <v>57895.360000000001</v>
      </c>
      <c r="L2835" s="189"/>
      <c r="M2835" s="138"/>
      <c r="N2835" s="138"/>
      <c r="O2835" s="138"/>
      <c r="S2835" s="72"/>
      <c r="T2835" s="72"/>
      <c r="U2835" s="72"/>
      <c r="V2835" s="72"/>
    </row>
    <row r="2836" spans="1:22" s="63" customFormat="1" ht="22.5" x14ac:dyDescent="0.25">
      <c r="A2836" s="80">
        <v>24.8</v>
      </c>
      <c r="B2836" s="81" t="s">
        <v>88</v>
      </c>
      <c r="C2836" s="80">
        <v>6.1</v>
      </c>
      <c r="D2836" s="131" t="s">
        <v>2592</v>
      </c>
      <c r="E2836" s="83" t="s">
        <v>2593</v>
      </c>
      <c r="F2836" s="81" t="s">
        <v>205</v>
      </c>
      <c r="G2836" s="89">
        <v>-0.86504999999999999</v>
      </c>
      <c r="H2836" s="85"/>
      <c r="I2836" s="86">
        <v>-8704.44</v>
      </c>
      <c r="J2836" s="185">
        <f t="shared" si="276"/>
        <v>11457</v>
      </c>
      <c r="K2836" s="189">
        <f t="shared" si="277"/>
        <v>-9910.8799999999992</v>
      </c>
      <c r="L2836" s="189"/>
      <c r="M2836" s="138"/>
      <c r="N2836" s="138"/>
      <c r="O2836" s="138"/>
      <c r="S2836" s="72"/>
      <c r="T2836" s="72"/>
      <c r="U2836" s="72"/>
      <c r="V2836" s="72"/>
    </row>
    <row r="2837" spans="1:22" s="63" customFormat="1" ht="22.5" x14ac:dyDescent="0.25">
      <c r="A2837" s="80">
        <v>24.9</v>
      </c>
      <c r="B2837" s="81" t="s">
        <v>88</v>
      </c>
      <c r="C2837" s="80">
        <v>6.2</v>
      </c>
      <c r="D2837" s="131" t="s">
        <v>590</v>
      </c>
      <c r="E2837" s="83" t="s">
        <v>591</v>
      </c>
      <c r="F2837" s="81" t="s">
        <v>205</v>
      </c>
      <c r="G2837" s="88">
        <v>2.1899999999999999E-2</v>
      </c>
      <c r="H2837" s="85"/>
      <c r="I2837" s="86">
        <v>67.67</v>
      </c>
      <c r="J2837" s="185">
        <f t="shared" si="276"/>
        <v>3518.22</v>
      </c>
      <c r="K2837" s="189">
        <f t="shared" si="277"/>
        <v>77.05</v>
      </c>
      <c r="L2837" s="189"/>
      <c r="M2837" s="138"/>
      <c r="N2837" s="138"/>
      <c r="O2837" s="138"/>
      <c r="S2837" s="72"/>
      <c r="T2837" s="72"/>
      <c r="U2837" s="72"/>
      <c r="V2837" s="72"/>
    </row>
    <row r="2838" spans="1:22" s="63" customFormat="1" ht="22.5" x14ac:dyDescent="0.25">
      <c r="A2838" s="87">
        <v>24.1</v>
      </c>
      <c r="B2838" s="81" t="s">
        <v>88</v>
      </c>
      <c r="C2838" s="80">
        <v>6.3</v>
      </c>
      <c r="D2838" s="131" t="s">
        <v>2631</v>
      </c>
      <c r="E2838" s="83" t="s">
        <v>2632</v>
      </c>
      <c r="F2838" s="81" t="s">
        <v>205</v>
      </c>
      <c r="G2838" s="89">
        <v>0.49493999999999999</v>
      </c>
      <c r="H2838" s="85"/>
      <c r="I2838" s="86">
        <v>518.33000000000004</v>
      </c>
      <c r="J2838" s="185">
        <f t="shared" si="276"/>
        <v>1192.4100000000001</v>
      </c>
      <c r="K2838" s="189">
        <f t="shared" si="277"/>
        <v>590.16999999999996</v>
      </c>
      <c r="L2838" s="189"/>
      <c r="M2838" s="138"/>
      <c r="N2838" s="138"/>
      <c r="O2838" s="138"/>
      <c r="S2838" s="72"/>
      <c r="T2838" s="72"/>
      <c r="U2838" s="72"/>
      <c r="V2838" s="72"/>
    </row>
    <row r="2839" spans="1:22" s="63" customFormat="1" ht="22.5" x14ac:dyDescent="0.25">
      <c r="A2839" s="87">
        <v>24.11</v>
      </c>
      <c r="B2839" s="81" t="s">
        <v>88</v>
      </c>
      <c r="C2839" s="80">
        <v>6.4</v>
      </c>
      <c r="D2839" s="131" t="s">
        <v>2633</v>
      </c>
      <c r="E2839" s="83" t="s">
        <v>4024</v>
      </c>
      <c r="F2839" s="81" t="s">
        <v>1512</v>
      </c>
      <c r="G2839" s="82">
        <v>1</v>
      </c>
      <c r="H2839" s="85"/>
      <c r="I2839" s="86">
        <v>34261.440000000002</v>
      </c>
      <c r="J2839" s="185">
        <f t="shared" si="276"/>
        <v>39010.080000000002</v>
      </c>
      <c r="K2839" s="189">
        <f t="shared" si="277"/>
        <v>39010.080000000002</v>
      </c>
      <c r="L2839" s="189"/>
      <c r="M2839" s="138"/>
      <c r="N2839" s="138"/>
      <c r="O2839" s="138"/>
      <c r="S2839" s="72"/>
      <c r="T2839" s="72"/>
      <c r="U2839" s="72"/>
      <c r="V2839" s="72"/>
    </row>
    <row r="2840" spans="1:22" s="63" customFormat="1" ht="22.5" x14ac:dyDescent="0.25">
      <c r="A2840" s="87">
        <v>24.12</v>
      </c>
      <c r="B2840" s="81" t="s">
        <v>88</v>
      </c>
      <c r="C2840" s="80">
        <v>6.5</v>
      </c>
      <c r="D2840" s="131" t="s">
        <v>2634</v>
      </c>
      <c r="E2840" s="83" t="s">
        <v>4025</v>
      </c>
      <c r="F2840" s="81" t="s">
        <v>1512</v>
      </c>
      <c r="G2840" s="82">
        <v>1</v>
      </c>
      <c r="H2840" s="85"/>
      <c r="I2840" s="86">
        <v>39165.06</v>
      </c>
      <c r="J2840" s="185">
        <f t="shared" si="276"/>
        <v>44593.34</v>
      </c>
      <c r="K2840" s="189">
        <f t="shared" si="277"/>
        <v>44593.34</v>
      </c>
      <c r="L2840" s="189"/>
      <c r="M2840" s="138"/>
      <c r="N2840" s="138"/>
      <c r="O2840" s="138"/>
      <c r="S2840" s="72"/>
      <c r="T2840" s="72"/>
      <c r="U2840" s="72"/>
      <c r="V2840" s="72"/>
    </row>
    <row r="2841" spans="1:22" s="63" customFormat="1" ht="22.5" x14ac:dyDescent="0.25">
      <c r="A2841" s="87">
        <v>24.13</v>
      </c>
      <c r="B2841" s="81" t="s">
        <v>88</v>
      </c>
      <c r="C2841" s="80">
        <v>6.6</v>
      </c>
      <c r="D2841" s="131" t="s">
        <v>2635</v>
      </c>
      <c r="E2841" s="83" t="s">
        <v>4026</v>
      </c>
      <c r="F2841" s="81" t="s">
        <v>1512</v>
      </c>
      <c r="G2841" s="82">
        <v>1</v>
      </c>
      <c r="H2841" s="85"/>
      <c r="I2841" s="86">
        <v>45547.21</v>
      </c>
      <c r="J2841" s="185">
        <f t="shared" si="276"/>
        <v>51860.05</v>
      </c>
      <c r="K2841" s="189">
        <f t="shared" si="277"/>
        <v>51860.05</v>
      </c>
      <c r="L2841" s="189"/>
      <c r="M2841" s="138"/>
      <c r="N2841" s="138"/>
      <c r="O2841" s="138"/>
      <c r="S2841" s="72"/>
      <c r="T2841" s="72"/>
      <c r="U2841" s="72"/>
      <c r="V2841" s="72"/>
    </row>
    <row r="2842" spans="1:22" s="63" customFormat="1" ht="22.5" x14ac:dyDescent="0.25">
      <c r="A2842" s="87">
        <v>24.14</v>
      </c>
      <c r="B2842" s="81" t="s">
        <v>88</v>
      </c>
      <c r="C2842" s="80">
        <v>6.7</v>
      </c>
      <c r="D2842" s="131" t="s">
        <v>2636</v>
      </c>
      <c r="E2842" s="83" t="s">
        <v>4027</v>
      </c>
      <c r="F2842" s="81" t="s">
        <v>1512</v>
      </c>
      <c r="G2842" s="82">
        <v>1</v>
      </c>
      <c r="H2842" s="85"/>
      <c r="I2842" s="86">
        <v>34899.64</v>
      </c>
      <c r="J2842" s="185">
        <f t="shared" si="276"/>
        <v>39736.730000000003</v>
      </c>
      <c r="K2842" s="189">
        <f t="shared" si="277"/>
        <v>39736.730000000003</v>
      </c>
      <c r="L2842" s="189"/>
      <c r="M2842" s="138"/>
      <c r="N2842" s="138"/>
      <c r="O2842" s="138"/>
      <c r="S2842" s="72"/>
      <c r="T2842" s="72"/>
      <c r="U2842" s="72"/>
      <c r="V2842" s="72"/>
    </row>
    <row r="2843" spans="1:22" s="63" customFormat="1" ht="22.5" x14ac:dyDescent="0.25">
      <c r="A2843" s="87">
        <v>24.15</v>
      </c>
      <c r="B2843" s="81" t="s">
        <v>88</v>
      </c>
      <c r="C2843" s="80">
        <v>6.8</v>
      </c>
      <c r="D2843" s="131" t="s">
        <v>2607</v>
      </c>
      <c r="E2843" s="83" t="s">
        <v>4028</v>
      </c>
      <c r="F2843" s="81" t="s">
        <v>1512</v>
      </c>
      <c r="G2843" s="82">
        <v>1</v>
      </c>
      <c r="H2843" s="85"/>
      <c r="I2843" s="86">
        <v>8931.77</v>
      </c>
      <c r="J2843" s="185">
        <f t="shared" si="276"/>
        <v>10169.709999999999</v>
      </c>
      <c r="K2843" s="189">
        <f t="shared" si="277"/>
        <v>10169.709999999999</v>
      </c>
      <c r="L2843" s="189"/>
      <c r="M2843" s="138"/>
      <c r="N2843" s="138"/>
      <c r="O2843" s="138"/>
      <c r="S2843" s="72"/>
      <c r="T2843" s="72"/>
      <c r="U2843" s="72"/>
      <c r="V2843" s="72"/>
    </row>
    <row r="2844" spans="1:22" s="63" customFormat="1" ht="22.5" x14ac:dyDescent="0.25">
      <c r="A2844" s="87">
        <v>24.16</v>
      </c>
      <c r="B2844" s="81" t="s">
        <v>88</v>
      </c>
      <c r="C2844" s="80">
        <v>6.9</v>
      </c>
      <c r="D2844" s="131" t="s">
        <v>2609</v>
      </c>
      <c r="E2844" s="83" t="s">
        <v>2610</v>
      </c>
      <c r="F2844" s="81" t="s">
        <v>219</v>
      </c>
      <c r="G2844" s="82">
        <v>1</v>
      </c>
      <c r="H2844" s="85"/>
      <c r="I2844" s="86">
        <v>569.55999999999995</v>
      </c>
      <c r="J2844" s="185">
        <f t="shared" si="276"/>
        <v>648.5</v>
      </c>
      <c r="K2844" s="189">
        <f t="shared" si="277"/>
        <v>648.5</v>
      </c>
      <c r="L2844" s="189"/>
      <c r="M2844" s="138"/>
      <c r="N2844" s="138"/>
      <c r="O2844" s="138"/>
      <c r="S2844" s="72"/>
      <c r="T2844" s="72"/>
      <c r="U2844" s="72"/>
      <c r="V2844" s="72"/>
    </row>
    <row r="2845" spans="1:22" s="63" customFormat="1" ht="22.5" x14ac:dyDescent="0.25">
      <c r="A2845" s="87">
        <v>24.17</v>
      </c>
      <c r="B2845" s="81" t="s">
        <v>88</v>
      </c>
      <c r="C2845" s="87">
        <v>6.1</v>
      </c>
      <c r="D2845" s="131" t="s">
        <v>2619</v>
      </c>
      <c r="E2845" s="83" t="s">
        <v>2620</v>
      </c>
      <c r="F2845" s="81" t="s">
        <v>219</v>
      </c>
      <c r="G2845" s="82">
        <v>2</v>
      </c>
      <c r="H2845" s="85"/>
      <c r="I2845" s="86">
        <v>10408.07</v>
      </c>
      <c r="J2845" s="185">
        <f t="shared" si="276"/>
        <v>5925.31</v>
      </c>
      <c r="K2845" s="189">
        <f t="shared" si="277"/>
        <v>11850.62</v>
      </c>
      <c r="L2845" s="189"/>
      <c r="M2845" s="138"/>
      <c r="N2845" s="138"/>
      <c r="O2845" s="138"/>
      <c r="S2845" s="72"/>
      <c r="T2845" s="72"/>
      <c r="U2845" s="72"/>
      <c r="V2845" s="72"/>
    </row>
    <row r="2846" spans="1:22" s="63" customFormat="1" ht="22.5" x14ac:dyDescent="0.25">
      <c r="A2846" s="87">
        <v>24.18</v>
      </c>
      <c r="B2846" s="81" t="s">
        <v>88</v>
      </c>
      <c r="C2846" s="82">
        <v>7</v>
      </c>
      <c r="D2846" s="131" t="s">
        <v>2624</v>
      </c>
      <c r="E2846" s="83" t="s">
        <v>2625</v>
      </c>
      <c r="F2846" s="81" t="s">
        <v>207</v>
      </c>
      <c r="G2846" s="88">
        <v>0.25240000000000001</v>
      </c>
      <c r="H2846" s="85"/>
      <c r="I2846" s="86">
        <v>8611.94</v>
      </c>
      <c r="J2846" s="185">
        <f t="shared" si="276"/>
        <v>38849.269999999997</v>
      </c>
      <c r="K2846" s="189">
        <f t="shared" si="277"/>
        <v>9805.56</v>
      </c>
      <c r="L2846" s="189"/>
      <c r="M2846" s="138"/>
      <c r="N2846" s="138"/>
      <c r="O2846" s="138"/>
      <c r="S2846" s="72"/>
      <c r="T2846" s="72"/>
      <c r="U2846" s="72"/>
      <c r="V2846" s="72"/>
    </row>
    <row r="2847" spans="1:22" s="63" customFormat="1" ht="15" x14ac:dyDescent="0.25">
      <c r="A2847" s="87"/>
      <c r="B2847" s="81"/>
      <c r="C2847" s="82"/>
      <c r="D2847" s="131"/>
      <c r="E2847" s="218" t="s">
        <v>3384</v>
      </c>
      <c r="F2847" s="81"/>
      <c r="G2847" s="88"/>
      <c r="H2847" s="85"/>
      <c r="I2847" s="86"/>
      <c r="J2847" s="185"/>
      <c r="K2847" s="189"/>
      <c r="L2847" s="189"/>
      <c r="M2847" s="138"/>
      <c r="N2847" s="138"/>
      <c r="O2847" s="138"/>
      <c r="S2847" s="72"/>
      <c r="T2847" s="72"/>
      <c r="U2847" s="72"/>
      <c r="V2847" s="72"/>
    </row>
    <row r="2848" spans="1:22" s="63" customFormat="1" ht="22.5" x14ac:dyDescent="0.25">
      <c r="A2848" s="87">
        <v>24.19</v>
      </c>
      <c r="B2848" s="81" t="s">
        <v>88</v>
      </c>
      <c r="C2848" s="82">
        <v>8</v>
      </c>
      <c r="D2848" s="131" t="s">
        <v>2638</v>
      </c>
      <c r="E2848" s="83" t="s">
        <v>2639</v>
      </c>
      <c r="F2848" s="81" t="s">
        <v>193</v>
      </c>
      <c r="G2848" s="90">
        <v>4.1332000000000001E-2</v>
      </c>
      <c r="H2848" s="85"/>
      <c r="I2848" s="86">
        <v>3941.71</v>
      </c>
      <c r="J2848" s="185">
        <f t="shared" ref="J2848:J2864" si="278">ROUND($I2848/$G2848*$N$11,2)</f>
        <v>108584.9</v>
      </c>
      <c r="K2848" s="189">
        <f t="shared" ref="K2848:K2864" si="279">ROUND(G2848*J2848,2)</f>
        <v>4488.03</v>
      </c>
      <c r="L2848" s="189"/>
      <c r="M2848" s="138"/>
      <c r="N2848" s="138"/>
      <c r="O2848" s="138"/>
      <c r="S2848" s="72"/>
      <c r="T2848" s="72"/>
      <c r="U2848" s="72"/>
      <c r="V2848" s="72"/>
    </row>
    <row r="2849" spans="1:22" s="63" customFormat="1" ht="22.5" x14ac:dyDescent="0.25">
      <c r="A2849" s="87">
        <v>24.2</v>
      </c>
      <c r="B2849" s="81" t="s">
        <v>88</v>
      </c>
      <c r="C2849" s="82">
        <v>9</v>
      </c>
      <c r="D2849" s="131" t="s">
        <v>2553</v>
      </c>
      <c r="E2849" s="83" t="s">
        <v>2554</v>
      </c>
      <c r="F2849" s="81" t="s">
        <v>196</v>
      </c>
      <c r="G2849" s="90">
        <v>1.2782999999999999E-2</v>
      </c>
      <c r="H2849" s="85"/>
      <c r="I2849" s="86">
        <v>2360.4</v>
      </c>
      <c r="J2849" s="185">
        <f t="shared" si="278"/>
        <v>210244.19</v>
      </c>
      <c r="K2849" s="189">
        <f t="shared" si="279"/>
        <v>2687.55</v>
      </c>
      <c r="L2849" s="189"/>
      <c r="M2849" s="138"/>
      <c r="N2849" s="138"/>
      <c r="O2849" s="138"/>
      <c r="S2849" s="72"/>
      <c r="T2849" s="72"/>
      <c r="U2849" s="72"/>
      <c r="V2849" s="72"/>
    </row>
    <row r="2850" spans="1:22" s="63" customFormat="1" ht="15" x14ac:dyDescent="0.25">
      <c r="A2850" s="87">
        <v>24.21</v>
      </c>
      <c r="B2850" s="81" t="s">
        <v>88</v>
      </c>
      <c r="C2850" s="82">
        <v>10</v>
      </c>
      <c r="D2850" s="131" t="s">
        <v>2340</v>
      </c>
      <c r="E2850" s="83" t="s">
        <v>2341</v>
      </c>
      <c r="F2850" s="81" t="s">
        <v>319</v>
      </c>
      <c r="G2850" s="84">
        <v>7.0999999999999994E-2</v>
      </c>
      <c r="H2850" s="85"/>
      <c r="I2850" s="86">
        <v>769.23</v>
      </c>
      <c r="J2850" s="185">
        <f t="shared" si="278"/>
        <v>12335.85</v>
      </c>
      <c r="K2850" s="189">
        <f t="shared" si="279"/>
        <v>875.85</v>
      </c>
      <c r="L2850" s="189"/>
      <c r="M2850" s="138"/>
      <c r="N2850" s="138"/>
      <c r="O2850" s="138"/>
      <c r="S2850" s="72"/>
      <c r="T2850" s="72"/>
      <c r="U2850" s="72"/>
      <c r="V2850" s="72"/>
    </row>
    <row r="2851" spans="1:22" s="63" customFormat="1" ht="22.5" x14ac:dyDescent="0.25">
      <c r="A2851" s="87">
        <v>24.22</v>
      </c>
      <c r="B2851" s="81" t="s">
        <v>88</v>
      </c>
      <c r="C2851" s="80">
        <v>10.1</v>
      </c>
      <c r="D2851" s="131" t="s">
        <v>2426</v>
      </c>
      <c r="E2851" s="83" t="s">
        <v>2427</v>
      </c>
      <c r="F2851" s="81" t="s">
        <v>205</v>
      </c>
      <c r="G2851" s="84">
        <v>0.78100000000000003</v>
      </c>
      <c r="H2851" s="85"/>
      <c r="I2851" s="86">
        <v>245.27</v>
      </c>
      <c r="J2851" s="185">
        <f t="shared" si="278"/>
        <v>357.57</v>
      </c>
      <c r="K2851" s="189">
        <f t="shared" si="279"/>
        <v>279.26</v>
      </c>
      <c r="L2851" s="189"/>
      <c r="M2851" s="138"/>
      <c r="N2851" s="138"/>
      <c r="O2851" s="138"/>
      <c r="S2851" s="72"/>
      <c r="T2851" s="72"/>
      <c r="U2851" s="72"/>
      <c r="V2851" s="72"/>
    </row>
    <row r="2852" spans="1:22" s="63" customFormat="1" ht="22.5" x14ac:dyDescent="0.25">
      <c r="A2852" s="87">
        <v>24.23</v>
      </c>
      <c r="B2852" s="81" t="s">
        <v>88</v>
      </c>
      <c r="C2852" s="82">
        <v>11</v>
      </c>
      <c r="D2852" s="131" t="s">
        <v>2627</v>
      </c>
      <c r="E2852" s="83" t="s">
        <v>2628</v>
      </c>
      <c r="F2852" s="81" t="s">
        <v>193</v>
      </c>
      <c r="G2852" s="89">
        <v>2.5729999999999999E-2</v>
      </c>
      <c r="H2852" s="85"/>
      <c r="I2852" s="86">
        <v>204.59</v>
      </c>
      <c r="J2852" s="185">
        <f t="shared" si="278"/>
        <v>9053.49</v>
      </c>
      <c r="K2852" s="189">
        <f t="shared" si="279"/>
        <v>232.95</v>
      </c>
      <c r="L2852" s="189"/>
      <c r="M2852" s="138"/>
      <c r="N2852" s="138"/>
      <c r="O2852" s="138"/>
      <c r="S2852" s="72"/>
      <c r="T2852" s="72"/>
      <c r="U2852" s="72"/>
      <c r="V2852" s="72"/>
    </row>
    <row r="2853" spans="1:22" s="63" customFormat="1" ht="15" x14ac:dyDescent="0.25">
      <c r="A2853" s="87">
        <v>24.24</v>
      </c>
      <c r="B2853" s="81" t="s">
        <v>88</v>
      </c>
      <c r="C2853" s="82">
        <v>12</v>
      </c>
      <c r="D2853" s="131" t="s">
        <v>201</v>
      </c>
      <c r="E2853" s="83" t="s">
        <v>202</v>
      </c>
      <c r="F2853" s="81" t="s">
        <v>196</v>
      </c>
      <c r="G2853" s="88">
        <v>0.25729999999999997</v>
      </c>
      <c r="H2853" s="85"/>
      <c r="I2853" s="86">
        <v>4201.1499999999996</v>
      </c>
      <c r="J2853" s="185">
        <f t="shared" si="278"/>
        <v>18590.86</v>
      </c>
      <c r="K2853" s="189">
        <f t="shared" si="279"/>
        <v>4783.43</v>
      </c>
      <c r="L2853" s="189"/>
      <c r="M2853" s="138"/>
      <c r="N2853" s="138"/>
      <c r="O2853" s="138"/>
      <c r="S2853" s="72"/>
      <c r="T2853" s="72"/>
      <c r="U2853" s="72"/>
      <c r="V2853" s="72"/>
    </row>
    <row r="2854" spans="1:22" s="63" customFormat="1" ht="15" x14ac:dyDescent="0.25">
      <c r="A2854" s="87">
        <v>24.25</v>
      </c>
      <c r="B2854" s="81" t="s">
        <v>88</v>
      </c>
      <c r="C2854" s="82">
        <v>13</v>
      </c>
      <c r="D2854" s="131" t="s">
        <v>2629</v>
      </c>
      <c r="E2854" s="83" t="s">
        <v>2630</v>
      </c>
      <c r="F2854" s="81" t="s">
        <v>319</v>
      </c>
      <c r="G2854" s="84">
        <v>0.34499999999999997</v>
      </c>
      <c r="H2854" s="85"/>
      <c r="I2854" s="86">
        <v>80103.149999999994</v>
      </c>
      <c r="J2854" s="185">
        <f t="shared" si="278"/>
        <v>264363.61</v>
      </c>
      <c r="K2854" s="189">
        <f t="shared" si="279"/>
        <v>91205.45</v>
      </c>
      <c r="L2854" s="189"/>
      <c r="M2854" s="138"/>
      <c r="N2854" s="138"/>
      <c r="O2854" s="138"/>
      <c r="S2854" s="72"/>
      <c r="T2854" s="72"/>
      <c r="U2854" s="72"/>
      <c r="V2854" s="72"/>
    </row>
    <row r="2855" spans="1:22" s="63" customFormat="1" ht="22.5" x14ac:dyDescent="0.25">
      <c r="A2855" s="87">
        <v>24.26</v>
      </c>
      <c r="B2855" s="81" t="s">
        <v>88</v>
      </c>
      <c r="C2855" s="80">
        <v>13.1</v>
      </c>
      <c r="D2855" s="131" t="s">
        <v>2592</v>
      </c>
      <c r="E2855" s="83" t="s">
        <v>2593</v>
      </c>
      <c r="F2855" s="81" t="s">
        <v>205</v>
      </c>
      <c r="G2855" s="89">
        <v>-1.3627499999999999</v>
      </c>
      <c r="H2855" s="85"/>
      <c r="I2855" s="86">
        <v>-13712.5</v>
      </c>
      <c r="J2855" s="185">
        <f t="shared" si="278"/>
        <v>11457.02</v>
      </c>
      <c r="K2855" s="189">
        <f t="shared" si="279"/>
        <v>-15613.05</v>
      </c>
      <c r="L2855" s="189"/>
      <c r="M2855" s="138"/>
      <c r="N2855" s="138"/>
      <c r="O2855" s="138"/>
      <c r="S2855" s="72"/>
      <c r="T2855" s="72"/>
      <c r="U2855" s="72"/>
      <c r="V2855" s="72"/>
    </row>
    <row r="2856" spans="1:22" s="63" customFormat="1" ht="22.5" x14ac:dyDescent="0.25">
      <c r="A2856" s="87">
        <v>24.27</v>
      </c>
      <c r="B2856" s="81" t="s">
        <v>88</v>
      </c>
      <c r="C2856" s="80">
        <v>13.2</v>
      </c>
      <c r="D2856" s="131" t="s">
        <v>590</v>
      </c>
      <c r="E2856" s="83" t="s">
        <v>591</v>
      </c>
      <c r="F2856" s="81" t="s">
        <v>205</v>
      </c>
      <c r="G2856" s="88">
        <v>3.4500000000000003E-2</v>
      </c>
      <c r="H2856" s="85"/>
      <c r="I2856" s="86">
        <v>106.65</v>
      </c>
      <c r="J2856" s="185">
        <f t="shared" si="278"/>
        <v>3519.76</v>
      </c>
      <c r="K2856" s="189">
        <f t="shared" si="279"/>
        <v>121.43</v>
      </c>
      <c r="L2856" s="189"/>
      <c r="M2856" s="138"/>
      <c r="N2856" s="138"/>
      <c r="O2856" s="138"/>
      <c r="S2856" s="72"/>
      <c r="T2856" s="72"/>
      <c r="U2856" s="72"/>
      <c r="V2856" s="72"/>
    </row>
    <row r="2857" spans="1:22" s="63" customFormat="1" ht="22.5" x14ac:dyDescent="0.25">
      <c r="A2857" s="87">
        <v>24.28</v>
      </c>
      <c r="B2857" s="81" t="s">
        <v>88</v>
      </c>
      <c r="C2857" s="80">
        <v>13.3</v>
      </c>
      <c r="D2857" s="131" t="s">
        <v>2631</v>
      </c>
      <c r="E2857" s="83" t="s">
        <v>2632</v>
      </c>
      <c r="F2857" s="81" t="s">
        <v>205</v>
      </c>
      <c r="G2857" s="88">
        <v>0.77969999999999995</v>
      </c>
      <c r="H2857" s="85"/>
      <c r="I2857" s="86">
        <v>816.52</v>
      </c>
      <c r="J2857" s="185">
        <f t="shared" si="278"/>
        <v>1192.3699999999999</v>
      </c>
      <c r="K2857" s="189">
        <f t="shared" si="279"/>
        <v>929.69</v>
      </c>
      <c r="L2857" s="189"/>
      <c r="M2857" s="138"/>
      <c r="N2857" s="138"/>
      <c r="O2857" s="138"/>
      <c r="S2857" s="72"/>
      <c r="T2857" s="72"/>
      <c r="U2857" s="72"/>
      <c r="V2857" s="72"/>
    </row>
    <row r="2858" spans="1:22" s="63" customFormat="1" ht="22.5" x14ac:dyDescent="0.25">
      <c r="A2858" s="87">
        <v>24.29</v>
      </c>
      <c r="B2858" s="81" t="s">
        <v>88</v>
      </c>
      <c r="C2858" s="80">
        <v>13.4</v>
      </c>
      <c r="D2858" s="131" t="s">
        <v>2640</v>
      </c>
      <c r="E2858" s="83" t="s">
        <v>2641</v>
      </c>
      <c r="F2858" s="81" t="s">
        <v>1512</v>
      </c>
      <c r="G2858" s="82">
        <v>1</v>
      </c>
      <c r="H2858" s="85"/>
      <c r="I2858" s="86">
        <v>86715.24</v>
      </c>
      <c r="J2858" s="185">
        <f t="shared" si="278"/>
        <v>98733.97</v>
      </c>
      <c r="K2858" s="189">
        <f t="shared" si="279"/>
        <v>98733.97</v>
      </c>
      <c r="L2858" s="189"/>
      <c r="M2858" s="138"/>
      <c r="N2858" s="138"/>
      <c r="O2858" s="138"/>
      <c r="S2858" s="72"/>
      <c r="T2858" s="72"/>
      <c r="U2858" s="72"/>
      <c r="V2858" s="72"/>
    </row>
    <row r="2859" spans="1:22" s="63" customFormat="1" ht="22.5" x14ac:dyDescent="0.25">
      <c r="A2859" s="87">
        <v>24.3</v>
      </c>
      <c r="B2859" s="81" t="s">
        <v>88</v>
      </c>
      <c r="C2859" s="80">
        <v>13.5</v>
      </c>
      <c r="D2859" s="131" t="s">
        <v>2642</v>
      </c>
      <c r="E2859" s="83" t="s">
        <v>2643</v>
      </c>
      <c r="F2859" s="81" t="s">
        <v>1512</v>
      </c>
      <c r="G2859" s="82">
        <v>3</v>
      </c>
      <c r="H2859" s="85"/>
      <c r="I2859" s="86">
        <v>197674.04</v>
      </c>
      <c r="J2859" s="185">
        <f t="shared" si="278"/>
        <v>75023.89</v>
      </c>
      <c r="K2859" s="189">
        <f t="shared" si="279"/>
        <v>225071.67</v>
      </c>
      <c r="L2859" s="189"/>
      <c r="M2859" s="138"/>
      <c r="N2859" s="138"/>
      <c r="O2859" s="138"/>
      <c r="S2859" s="72"/>
      <c r="T2859" s="72"/>
      <c r="U2859" s="72"/>
      <c r="V2859" s="72"/>
    </row>
    <row r="2860" spans="1:22" s="63" customFormat="1" ht="22.5" x14ac:dyDescent="0.25">
      <c r="A2860" s="87">
        <v>24.31</v>
      </c>
      <c r="B2860" s="81" t="s">
        <v>88</v>
      </c>
      <c r="C2860" s="80">
        <v>13.6</v>
      </c>
      <c r="D2860" s="131" t="s">
        <v>2644</v>
      </c>
      <c r="E2860" s="83" t="s">
        <v>2645</v>
      </c>
      <c r="F2860" s="81" t="s">
        <v>1512</v>
      </c>
      <c r="G2860" s="82">
        <v>1</v>
      </c>
      <c r="H2860" s="85"/>
      <c r="I2860" s="86">
        <v>86715.24</v>
      </c>
      <c r="J2860" s="185">
        <f t="shared" si="278"/>
        <v>98733.97</v>
      </c>
      <c r="K2860" s="189">
        <f t="shared" si="279"/>
        <v>98733.97</v>
      </c>
      <c r="L2860" s="189"/>
      <c r="M2860" s="138"/>
      <c r="N2860" s="138"/>
      <c r="O2860" s="138"/>
      <c r="S2860" s="72"/>
      <c r="T2860" s="72"/>
      <c r="U2860" s="72"/>
      <c r="V2860" s="72"/>
    </row>
    <row r="2861" spans="1:22" s="63" customFormat="1" ht="22.5" x14ac:dyDescent="0.25">
      <c r="A2861" s="87">
        <v>24.32</v>
      </c>
      <c r="B2861" s="81" t="s">
        <v>88</v>
      </c>
      <c r="C2861" s="80">
        <v>13.7</v>
      </c>
      <c r="D2861" s="131" t="s">
        <v>2607</v>
      </c>
      <c r="E2861" s="83" t="s">
        <v>2637</v>
      </c>
      <c r="F2861" s="81" t="s">
        <v>1512</v>
      </c>
      <c r="G2861" s="82">
        <v>1</v>
      </c>
      <c r="H2861" s="85"/>
      <c r="I2861" s="86">
        <v>8931.77</v>
      </c>
      <c r="J2861" s="185">
        <f t="shared" si="278"/>
        <v>10169.709999999999</v>
      </c>
      <c r="K2861" s="189">
        <f t="shared" si="279"/>
        <v>10169.709999999999</v>
      </c>
      <c r="L2861" s="189"/>
      <c r="M2861" s="138"/>
      <c r="N2861" s="138"/>
      <c r="O2861" s="138"/>
      <c r="S2861" s="72"/>
      <c r="T2861" s="72"/>
      <c r="U2861" s="72"/>
      <c r="V2861" s="72"/>
    </row>
    <row r="2862" spans="1:22" s="63" customFormat="1" ht="22.5" x14ac:dyDescent="0.25">
      <c r="A2862" s="87">
        <v>24.33</v>
      </c>
      <c r="B2862" s="81" t="s">
        <v>88</v>
      </c>
      <c r="C2862" s="80">
        <v>13.8</v>
      </c>
      <c r="D2862" s="131" t="s">
        <v>2609</v>
      </c>
      <c r="E2862" s="83" t="s">
        <v>2610</v>
      </c>
      <c r="F2862" s="81" t="s">
        <v>219</v>
      </c>
      <c r="G2862" s="82">
        <v>1</v>
      </c>
      <c r="H2862" s="85"/>
      <c r="I2862" s="86">
        <v>569.55999999999995</v>
      </c>
      <c r="J2862" s="185">
        <f t="shared" si="278"/>
        <v>648.5</v>
      </c>
      <c r="K2862" s="189">
        <f t="shared" si="279"/>
        <v>648.5</v>
      </c>
      <c r="L2862" s="189"/>
      <c r="M2862" s="138"/>
      <c r="N2862" s="138"/>
      <c r="O2862" s="138"/>
      <c r="S2862" s="72"/>
      <c r="T2862" s="72"/>
      <c r="U2862" s="72"/>
      <c r="V2862" s="72"/>
    </row>
    <row r="2863" spans="1:22" s="63" customFormat="1" ht="22.5" x14ac:dyDescent="0.25">
      <c r="A2863" s="87">
        <v>24.34</v>
      </c>
      <c r="B2863" s="81" t="s">
        <v>88</v>
      </c>
      <c r="C2863" s="80">
        <v>13.9</v>
      </c>
      <c r="D2863" s="131" t="s">
        <v>2619</v>
      </c>
      <c r="E2863" s="83" t="s">
        <v>2620</v>
      </c>
      <c r="F2863" s="81" t="s">
        <v>219</v>
      </c>
      <c r="G2863" s="82">
        <v>2</v>
      </c>
      <c r="H2863" s="85"/>
      <c r="I2863" s="86">
        <v>10408.07</v>
      </c>
      <c r="J2863" s="185">
        <f t="shared" si="278"/>
        <v>5925.31</v>
      </c>
      <c r="K2863" s="189">
        <f t="shared" si="279"/>
        <v>11850.62</v>
      </c>
      <c r="L2863" s="189"/>
      <c r="M2863" s="138"/>
      <c r="N2863" s="138"/>
      <c r="O2863" s="138"/>
      <c r="S2863" s="72"/>
      <c r="T2863" s="72"/>
      <c r="U2863" s="72"/>
      <c r="V2863" s="72"/>
    </row>
    <row r="2864" spans="1:22" s="63" customFormat="1" ht="22.5" x14ac:dyDescent="0.25">
      <c r="A2864" s="87">
        <v>24.35</v>
      </c>
      <c r="B2864" s="81" t="s">
        <v>88</v>
      </c>
      <c r="C2864" s="82">
        <v>14</v>
      </c>
      <c r="D2864" s="131" t="s">
        <v>2624</v>
      </c>
      <c r="E2864" s="83" t="s">
        <v>2625</v>
      </c>
      <c r="F2864" s="81" t="s">
        <v>207</v>
      </c>
      <c r="G2864" s="88">
        <v>0.35510000000000003</v>
      </c>
      <c r="H2864" s="85"/>
      <c r="I2864" s="86">
        <v>12115.63</v>
      </c>
      <c r="J2864" s="185">
        <f t="shared" si="278"/>
        <v>38847.81</v>
      </c>
      <c r="K2864" s="189">
        <f t="shared" si="279"/>
        <v>13794.86</v>
      </c>
      <c r="L2864" s="189"/>
      <c r="M2864" s="138"/>
      <c r="N2864" s="138"/>
      <c r="O2864" s="138"/>
      <c r="S2864" s="72"/>
      <c r="T2864" s="72"/>
      <c r="U2864" s="72"/>
      <c r="V2864" s="72"/>
    </row>
    <row r="2865" spans="1:22" s="63" customFormat="1" ht="15" x14ac:dyDescent="0.25">
      <c r="A2865" s="87"/>
      <c r="B2865" s="81"/>
      <c r="C2865" s="82"/>
      <c r="D2865" s="131"/>
      <c r="E2865" s="218" t="s">
        <v>3385</v>
      </c>
      <c r="F2865" s="81"/>
      <c r="G2865" s="88"/>
      <c r="H2865" s="85"/>
      <c r="I2865" s="86"/>
      <c r="J2865" s="185"/>
      <c r="K2865" s="189"/>
      <c r="L2865" s="189"/>
      <c r="M2865" s="138"/>
      <c r="N2865" s="138"/>
      <c r="O2865" s="138"/>
      <c r="S2865" s="72"/>
      <c r="T2865" s="72"/>
      <c r="U2865" s="72"/>
      <c r="V2865" s="72"/>
    </row>
    <row r="2866" spans="1:22" s="63" customFormat="1" ht="22.5" x14ac:dyDescent="0.25">
      <c r="A2866" s="87">
        <v>24.36</v>
      </c>
      <c r="B2866" s="81" t="s">
        <v>88</v>
      </c>
      <c r="C2866" s="82">
        <v>15</v>
      </c>
      <c r="D2866" s="131" t="s">
        <v>2638</v>
      </c>
      <c r="E2866" s="83" t="s">
        <v>2639</v>
      </c>
      <c r="F2866" s="81" t="s">
        <v>193</v>
      </c>
      <c r="G2866" s="90">
        <v>2.0836E-2</v>
      </c>
      <c r="H2866" s="85"/>
      <c r="I2866" s="86">
        <v>1987.04</v>
      </c>
      <c r="J2866" s="185">
        <f t="shared" ref="J2866:J2883" si="280">ROUND($I2866/$G2866*$N$11,2)</f>
        <v>108583.4</v>
      </c>
      <c r="K2866" s="189">
        <f t="shared" ref="K2866:K2883" si="281">ROUND(G2866*J2866,2)</f>
        <v>2262.44</v>
      </c>
      <c r="L2866" s="189"/>
      <c r="M2866" s="138"/>
      <c r="N2866" s="138"/>
      <c r="O2866" s="138"/>
      <c r="S2866" s="72"/>
      <c r="T2866" s="72"/>
      <c r="U2866" s="72"/>
      <c r="V2866" s="72"/>
    </row>
    <row r="2867" spans="1:22" s="63" customFormat="1" ht="22.5" x14ac:dyDescent="0.25">
      <c r="A2867" s="87">
        <v>24.37</v>
      </c>
      <c r="B2867" s="81" t="s">
        <v>88</v>
      </c>
      <c r="C2867" s="82">
        <v>16</v>
      </c>
      <c r="D2867" s="131" t="s">
        <v>2553</v>
      </c>
      <c r="E2867" s="83" t="s">
        <v>2554</v>
      </c>
      <c r="F2867" s="81" t="s">
        <v>196</v>
      </c>
      <c r="G2867" s="90">
        <v>6.4440000000000001E-3</v>
      </c>
      <c r="H2867" s="85"/>
      <c r="I2867" s="86">
        <v>1189.82</v>
      </c>
      <c r="J2867" s="185">
        <f t="shared" si="280"/>
        <v>210231.08</v>
      </c>
      <c r="K2867" s="189">
        <f t="shared" si="281"/>
        <v>1354.73</v>
      </c>
      <c r="L2867" s="189"/>
      <c r="M2867" s="138"/>
      <c r="N2867" s="138"/>
      <c r="O2867" s="138"/>
      <c r="S2867" s="72"/>
      <c r="T2867" s="72"/>
      <c r="U2867" s="72"/>
      <c r="V2867" s="72"/>
    </row>
    <row r="2868" spans="1:22" s="63" customFormat="1" ht="15" x14ac:dyDescent="0.25">
      <c r="A2868" s="87">
        <v>24.38</v>
      </c>
      <c r="B2868" s="81" t="s">
        <v>88</v>
      </c>
      <c r="C2868" s="82">
        <v>17</v>
      </c>
      <c r="D2868" s="131" t="s">
        <v>2340</v>
      </c>
      <c r="E2868" s="83" t="s">
        <v>2341</v>
      </c>
      <c r="F2868" s="81" t="s">
        <v>319</v>
      </c>
      <c r="G2868" s="84">
        <v>3.1E-2</v>
      </c>
      <c r="H2868" s="85"/>
      <c r="I2868" s="86">
        <v>336.88</v>
      </c>
      <c r="J2868" s="185">
        <f t="shared" si="280"/>
        <v>12373.28</v>
      </c>
      <c r="K2868" s="189">
        <f t="shared" si="281"/>
        <v>383.57</v>
      </c>
      <c r="L2868" s="189"/>
      <c r="M2868" s="138"/>
      <c r="N2868" s="138"/>
      <c r="O2868" s="138"/>
      <c r="S2868" s="72"/>
      <c r="T2868" s="72"/>
      <c r="U2868" s="72"/>
      <c r="V2868" s="72"/>
    </row>
    <row r="2869" spans="1:22" s="63" customFormat="1" ht="22.5" x14ac:dyDescent="0.25">
      <c r="A2869" s="87">
        <v>24.39</v>
      </c>
      <c r="B2869" s="81" t="s">
        <v>88</v>
      </c>
      <c r="C2869" s="80">
        <v>17.100000000000001</v>
      </c>
      <c r="D2869" s="131" t="s">
        <v>2426</v>
      </c>
      <c r="E2869" s="83" t="s">
        <v>2427</v>
      </c>
      <c r="F2869" s="81" t="s">
        <v>205</v>
      </c>
      <c r="G2869" s="84">
        <v>0.34100000000000003</v>
      </c>
      <c r="H2869" s="85"/>
      <c r="I2869" s="86">
        <v>107.09</v>
      </c>
      <c r="J2869" s="185">
        <f t="shared" si="280"/>
        <v>357.57</v>
      </c>
      <c r="K2869" s="189">
        <f t="shared" si="281"/>
        <v>121.93</v>
      </c>
      <c r="L2869" s="189"/>
      <c r="M2869" s="138"/>
      <c r="N2869" s="138"/>
      <c r="O2869" s="138"/>
      <c r="S2869" s="72"/>
      <c r="T2869" s="72"/>
      <c r="U2869" s="72"/>
      <c r="V2869" s="72"/>
    </row>
    <row r="2870" spans="1:22" s="63" customFormat="1" ht="22.5" x14ac:dyDescent="0.25">
      <c r="A2870" s="87">
        <v>24.4</v>
      </c>
      <c r="B2870" s="81" t="s">
        <v>88</v>
      </c>
      <c r="C2870" s="82">
        <v>18</v>
      </c>
      <c r="D2870" s="131" t="s">
        <v>2627</v>
      </c>
      <c r="E2870" s="83" t="s">
        <v>2628</v>
      </c>
      <c r="F2870" s="81" t="s">
        <v>193</v>
      </c>
      <c r="G2870" s="89">
        <v>1.6410000000000001E-2</v>
      </c>
      <c r="H2870" s="85"/>
      <c r="I2870" s="86">
        <v>130.5</v>
      </c>
      <c r="J2870" s="185">
        <f t="shared" si="280"/>
        <v>9054.68</v>
      </c>
      <c r="K2870" s="189">
        <f t="shared" si="281"/>
        <v>148.59</v>
      </c>
      <c r="L2870" s="189"/>
      <c r="M2870" s="138"/>
      <c r="N2870" s="138"/>
      <c r="O2870" s="138"/>
      <c r="S2870" s="72"/>
      <c r="T2870" s="72"/>
      <c r="U2870" s="72"/>
      <c r="V2870" s="72"/>
    </row>
    <row r="2871" spans="1:22" s="63" customFormat="1" ht="15" x14ac:dyDescent="0.25">
      <c r="A2871" s="87">
        <v>24.41</v>
      </c>
      <c r="B2871" s="81" t="s">
        <v>88</v>
      </c>
      <c r="C2871" s="82">
        <v>19</v>
      </c>
      <c r="D2871" s="131" t="s">
        <v>201</v>
      </c>
      <c r="E2871" s="83" t="s">
        <v>202</v>
      </c>
      <c r="F2871" s="81" t="s">
        <v>196</v>
      </c>
      <c r="G2871" s="88">
        <v>0.1641</v>
      </c>
      <c r="H2871" s="85"/>
      <c r="I2871" s="86">
        <v>2680.02</v>
      </c>
      <c r="J2871" s="185">
        <f t="shared" si="280"/>
        <v>18595.189999999999</v>
      </c>
      <c r="K2871" s="189">
        <f t="shared" si="281"/>
        <v>3051.47</v>
      </c>
      <c r="L2871" s="189"/>
      <c r="M2871" s="138"/>
      <c r="N2871" s="138"/>
      <c r="O2871" s="138"/>
      <c r="S2871" s="72"/>
      <c r="T2871" s="72"/>
      <c r="U2871" s="72"/>
      <c r="V2871" s="72"/>
    </row>
    <row r="2872" spans="1:22" s="63" customFormat="1" ht="15" x14ac:dyDescent="0.25">
      <c r="A2872" s="87">
        <v>24.42</v>
      </c>
      <c r="B2872" s="81" t="s">
        <v>88</v>
      </c>
      <c r="C2872" s="82">
        <v>20</v>
      </c>
      <c r="D2872" s="131" t="s">
        <v>2629</v>
      </c>
      <c r="E2872" s="83" t="s">
        <v>2630</v>
      </c>
      <c r="F2872" s="81" t="s">
        <v>319</v>
      </c>
      <c r="G2872" s="88">
        <v>0.13850000000000001</v>
      </c>
      <c r="H2872" s="85"/>
      <c r="I2872" s="86">
        <v>32157.17</v>
      </c>
      <c r="J2872" s="185">
        <f t="shared" si="280"/>
        <v>264362.12</v>
      </c>
      <c r="K2872" s="189">
        <f t="shared" si="281"/>
        <v>36614.15</v>
      </c>
      <c r="L2872" s="189"/>
      <c r="M2872" s="138"/>
      <c r="N2872" s="138"/>
      <c r="O2872" s="138"/>
      <c r="S2872" s="72"/>
      <c r="T2872" s="72"/>
      <c r="U2872" s="72"/>
      <c r="V2872" s="72"/>
    </row>
    <row r="2873" spans="1:22" s="63" customFormat="1" ht="22.5" x14ac:dyDescent="0.25">
      <c r="A2873" s="87">
        <v>24.43</v>
      </c>
      <c r="B2873" s="81" t="s">
        <v>88</v>
      </c>
      <c r="C2873" s="80">
        <v>20.100000000000001</v>
      </c>
      <c r="D2873" s="131" t="s">
        <v>2592</v>
      </c>
      <c r="E2873" s="83" t="s">
        <v>2593</v>
      </c>
      <c r="F2873" s="81" t="s">
        <v>205</v>
      </c>
      <c r="G2873" s="90">
        <v>-0.54707499999999998</v>
      </c>
      <c r="H2873" s="85"/>
      <c r="I2873" s="86">
        <v>-5504.89</v>
      </c>
      <c r="J2873" s="185">
        <f t="shared" si="280"/>
        <v>11457.05</v>
      </c>
      <c r="K2873" s="189">
        <f t="shared" si="281"/>
        <v>-6267.87</v>
      </c>
      <c r="L2873" s="189"/>
      <c r="M2873" s="138"/>
      <c r="N2873" s="138"/>
      <c r="O2873" s="138"/>
      <c r="S2873" s="72"/>
      <c r="T2873" s="72"/>
      <c r="U2873" s="72"/>
      <c r="V2873" s="72"/>
    </row>
    <row r="2874" spans="1:22" s="63" customFormat="1" ht="22.5" x14ac:dyDescent="0.25">
      <c r="A2874" s="87">
        <v>24.44</v>
      </c>
      <c r="B2874" s="81" t="s">
        <v>88</v>
      </c>
      <c r="C2874" s="80">
        <v>20.2</v>
      </c>
      <c r="D2874" s="131" t="s">
        <v>590</v>
      </c>
      <c r="E2874" s="83" t="s">
        <v>591</v>
      </c>
      <c r="F2874" s="81" t="s">
        <v>205</v>
      </c>
      <c r="G2874" s="88">
        <v>1.3899999999999999E-2</v>
      </c>
      <c r="H2874" s="85"/>
      <c r="I2874" s="86">
        <v>42.98</v>
      </c>
      <c r="J2874" s="185">
        <f t="shared" si="280"/>
        <v>3520.65</v>
      </c>
      <c r="K2874" s="189">
        <f t="shared" si="281"/>
        <v>48.94</v>
      </c>
      <c r="L2874" s="189"/>
      <c r="M2874" s="138"/>
      <c r="N2874" s="138"/>
      <c r="O2874" s="138"/>
      <c r="S2874" s="72"/>
      <c r="T2874" s="72"/>
      <c r="U2874" s="72"/>
      <c r="V2874" s="72"/>
    </row>
    <row r="2875" spans="1:22" s="63" customFormat="1" ht="22.5" x14ac:dyDescent="0.25">
      <c r="A2875" s="87">
        <v>24.45</v>
      </c>
      <c r="B2875" s="81" t="s">
        <v>88</v>
      </c>
      <c r="C2875" s="80">
        <v>20.3</v>
      </c>
      <c r="D2875" s="131" t="s">
        <v>2631</v>
      </c>
      <c r="E2875" s="83" t="s">
        <v>2632</v>
      </c>
      <c r="F2875" s="81" t="s">
        <v>205</v>
      </c>
      <c r="G2875" s="84">
        <v>0.313</v>
      </c>
      <c r="H2875" s="85"/>
      <c r="I2875" s="86">
        <v>327.76</v>
      </c>
      <c r="J2875" s="185">
        <f t="shared" si="280"/>
        <v>1192.29</v>
      </c>
      <c r="K2875" s="189">
        <f t="shared" si="281"/>
        <v>373.19</v>
      </c>
      <c r="L2875" s="189"/>
      <c r="M2875" s="138"/>
      <c r="N2875" s="138"/>
      <c r="O2875" s="138"/>
      <c r="S2875" s="72"/>
      <c r="T2875" s="72"/>
      <c r="U2875" s="72"/>
      <c r="V2875" s="72"/>
    </row>
    <row r="2876" spans="1:22" s="63" customFormat="1" ht="22.5" x14ac:dyDescent="0.25">
      <c r="A2876" s="87">
        <v>24.46</v>
      </c>
      <c r="B2876" s="81" t="s">
        <v>88</v>
      </c>
      <c r="C2876" s="80">
        <v>20.399999999999999</v>
      </c>
      <c r="D2876" s="131" t="s">
        <v>2646</v>
      </c>
      <c r="E2876" s="83" t="s">
        <v>4017</v>
      </c>
      <c r="F2876" s="81" t="s">
        <v>1512</v>
      </c>
      <c r="G2876" s="82">
        <v>1</v>
      </c>
      <c r="H2876" s="85"/>
      <c r="I2876" s="86">
        <v>20988.77</v>
      </c>
      <c r="J2876" s="185">
        <f t="shared" si="280"/>
        <v>23897.81</v>
      </c>
      <c r="K2876" s="189">
        <f t="shared" si="281"/>
        <v>23897.81</v>
      </c>
      <c r="L2876" s="189"/>
      <c r="M2876" s="138"/>
      <c r="N2876" s="138"/>
      <c r="O2876" s="138"/>
      <c r="S2876" s="72"/>
      <c r="T2876" s="72"/>
      <c r="U2876" s="72"/>
      <c r="V2876" s="72"/>
    </row>
    <row r="2877" spans="1:22" s="63" customFormat="1" ht="22.5" x14ac:dyDescent="0.25">
      <c r="A2877" s="87">
        <v>24.47</v>
      </c>
      <c r="B2877" s="81" t="s">
        <v>88</v>
      </c>
      <c r="C2877" s="80">
        <v>20.5</v>
      </c>
      <c r="D2877" s="131" t="s">
        <v>2647</v>
      </c>
      <c r="E2877" s="83" t="s">
        <v>4018</v>
      </c>
      <c r="F2877" s="81" t="s">
        <v>1512</v>
      </c>
      <c r="G2877" s="82">
        <v>1</v>
      </c>
      <c r="H2877" s="85"/>
      <c r="I2877" s="86">
        <v>26980.46</v>
      </c>
      <c r="J2877" s="185">
        <f t="shared" si="280"/>
        <v>30719.95</v>
      </c>
      <c r="K2877" s="189">
        <f t="shared" si="281"/>
        <v>30719.95</v>
      </c>
      <c r="L2877" s="189"/>
      <c r="M2877" s="138"/>
      <c r="N2877" s="138"/>
      <c r="O2877" s="138"/>
      <c r="S2877" s="72"/>
      <c r="T2877" s="72"/>
      <c r="U2877" s="72"/>
      <c r="V2877" s="72"/>
    </row>
    <row r="2878" spans="1:22" s="63" customFormat="1" ht="22.5" x14ac:dyDescent="0.25">
      <c r="A2878" s="87">
        <v>24.48</v>
      </c>
      <c r="B2878" s="81" t="s">
        <v>88</v>
      </c>
      <c r="C2878" s="80">
        <v>20.6</v>
      </c>
      <c r="D2878" s="131" t="s">
        <v>2648</v>
      </c>
      <c r="E2878" s="83" t="s">
        <v>4019</v>
      </c>
      <c r="F2878" s="81" t="s">
        <v>1512</v>
      </c>
      <c r="G2878" s="82">
        <v>1</v>
      </c>
      <c r="H2878" s="85"/>
      <c r="I2878" s="86">
        <v>32192.58</v>
      </c>
      <c r="J2878" s="185">
        <f t="shared" si="280"/>
        <v>36654.47</v>
      </c>
      <c r="K2878" s="189">
        <f t="shared" si="281"/>
        <v>36654.47</v>
      </c>
      <c r="L2878" s="189"/>
      <c r="M2878" s="138"/>
      <c r="N2878" s="138"/>
      <c r="O2878" s="138"/>
      <c r="S2878" s="72"/>
      <c r="T2878" s="72"/>
      <c r="U2878" s="72"/>
      <c r="V2878" s="72"/>
    </row>
    <row r="2879" spans="1:22" s="63" customFormat="1" ht="22.5" x14ac:dyDescent="0.25">
      <c r="A2879" s="87">
        <v>24.49</v>
      </c>
      <c r="B2879" s="81" t="s">
        <v>88</v>
      </c>
      <c r="C2879" s="80">
        <v>20.7</v>
      </c>
      <c r="D2879" s="131" t="s">
        <v>2649</v>
      </c>
      <c r="E2879" s="83" t="s">
        <v>4020</v>
      </c>
      <c r="F2879" s="81" t="s">
        <v>1512</v>
      </c>
      <c r="G2879" s="82">
        <v>1</v>
      </c>
      <c r="H2879" s="85"/>
      <c r="I2879" s="86">
        <v>20989.3</v>
      </c>
      <c r="J2879" s="185">
        <f t="shared" si="280"/>
        <v>23898.42</v>
      </c>
      <c r="K2879" s="189">
        <f t="shared" si="281"/>
        <v>23898.42</v>
      </c>
      <c r="L2879" s="189"/>
      <c r="M2879" s="138"/>
      <c r="N2879" s="138"/>
      <c r="O2879" s="138"/>
      <c r="S2879" s="72"/>
      <c r="T2879" s="72"/>
      <c r="U2879" s="72"/>
      <c r="V2879" s="72"/>
    </row>
    <row r="2880" spans="1:22" s="63" customFormat="1" ht="22.5" x14ac:dyDescent="0.25">
      <c r="A2880" s="87">
        <v>24.5</v>
      </c>
      <c r="B2880" s="81" t="s">
        <v>88</v>
      </c>
      <c r="C2880" s="80">
        <v>20.8</v>
      </c>
      <c r="D2880" s="131" t="s">
        <v>2607</v>
      </c>
      <c r="E2880" s="83" t="s">
        <v>4028</v>
      </c>
      <c r="F2880" s="81" t="s">
        <v>1512</v>
      </c>
      <c r="G2880" s="82">
        <v>1</v>
      </c>
      <c r="H2880" s="85"/>
      <c r="I2880" s="86">
        <v>8931.77</v>
      </c>
      <c r="J2880" s="185">
        <f t="shared" si="280"/>
        <v>10169.709999999999</v>
      </c>
      <c r="K2880" s="189">
        <f t="shared" si="281"/>
        <v>10169.709999999999</v>
      </c>
      <c r="L2880" s="189"/>
      <c r="M2880" s="138"/>
      <c r="N2880" s="138"/>
      <c r="O2880" s="138"/>
      <c r="S2880" s="72"/>
      <c r="T2880" s="72"/>
      <c r="U2880" s="72"/>
      <c r="V2880" s="72"/>
    </row>
    <row r="2881" spans="1:22" s="63" customFormat="1" ht="22.5" x14ac:dyDescent="0.25">
      <c r="A2881" s="87">
        <v>24.51</v>
      </c>
      <c r="B2881" s="81" t="s">
        <v>88</v>
      </c>
      <c r="C2881" s="80">
        <v>20.9</v>
      </c>
      <c r="D2881" s="131" t="s">
        <v>2609</v>
      </c>
      <c r="E2881" s="83" t="s">
        <v>2610</v>
      </c>
      <c r="F2881" s="81" t="s">
        <v>219</v>
      </c>
      <c r="G2881" s="82">
        <v>1</v>
      </c>
      <c r="H2881" s="85"/>
      <c r="I2881" s="86">
        <v>569.55999999999995</v>
      </c>
      <c r="J2881" s="185">
        <f t="shared" si="280"/>
        <v>648.5</v>
      </c>
      <c r="K2881" s="189">
        <f t="shared" si="281"/>
        <v>648.5</v>
      </c>
      <c r="L2881" s="189"/>
      <c r="M2881" s="138"/>
      <c r="N2881" s="138"/>
      <c r="O2881" s="138"/>
      <c r="S2881" s="72"/>
      <c r="T2881" s="72"/>
      <c r="U2881" s="72"/>
      <c r="V2881" s="72"/>
    </row>
    <row r="2882" spans="1:22" s="63" customFormat="1" ht="22.5" x14ac:dyDescent="0.25">
      <c r="A2882" s="87">
        <v>24.52</v>
      </c>
      <c r="B2882" s="81" t="s">
        <v>88</v>
      </c>
      <c r="C2882" s="87">
        <v>20.100000000000001</v>
      </c>
      <c r="D2882" s="131" t="s">
        <v>2619</v>
      </c>
      <c r="E2882" s="83" t="s">
        <v>2620</v>
      </c>
      <c r="F2882" s="81" t="s">
        <v>219</v>
      </c>
      <c r="G2882" s="82">
        <v>1</v>
      </c>
      <c r="H2882" s="85"/>
      <c r="I2882" s="86">
        <v>5204.04</v>
      </c>
      <c r="J2882" s="185">
        <f t="shared" si="280"/>
        <v>5925.32</v>
      </c>
      <c r="K2882" s="189">
        <f t="shared" si="281"/>
        <v>5925.32</v>
      </c>
      <c r="L2882" s="189"/>
      <c r="M2882" s="138"/>
      <c r="N2882" s="138"/>
      <c r="O2882" s="138"/>
      <c r="S2882" s="72"/>
      <c r="T2882" s="72"/>
      <c r="U2882" s="72"/>
      <c r="V2882" s="72"/>
    </row>
    <row r="2883" spans="1:22" s="63" customFormat="1" ht="22.5" x14ac:dyDescent="0.25">
      <c r="A2883" s="87">
        <v>24.53</v>
      </c>
      <c r="B2883" s="81" t="s">
        <v>88</v>
      </c>
      <c r="C2883" s="82">
        <v>21</v>
      </c>
      <c r="D2883" s="131" t="s">
        <v>2624</v>
      </c>
      <c r="E2883" s="83" t="s">
        <v>2625</v>
      </c>
      <c r="F2883" s="81" t="s">
        <v>207</v>
      </c>
      <c r="G2883" s="88">
        <v>0.15770000000000001</v>
      </c>
      <c r="H2883" s="85"/>
      <c r="I2883" s="86">
        <v>5380.17</v>
      </c>
      <c r="J2883" s="185">
        <f t="shared" si="280"/>
        <v>38845.03</v>
      </c>
      <c r="K2883" s="189">
        <f t="shared" si="281"/>
        <v>6125.86</v>
      </c>
      <c r="L2883" s="189"/>
      <c r="M2883" s="138"/>
      <c r="N2883" s="138"/>
      <c r="O2883" s="138"/>
      <c r="S2883" s="72"/>
      <c r="T2883" s="72"/>
      <c r="U2883" s="72"/>
      <c r="V2883" s="72"/>
    </row>
    <row r="2884" spans="1:22" s="63" customFormat="1" ht="15" x14ac:dyDescent="0.25">
      <c r="A2884" s="87"/>
      <c r="B2884" s="81"/>
      <c r="C2884" s="82"/>
      <c r="D2884" s="131"/>
      <c r="E2884" s="218" t="s">
        <v>3386</v>
      </c>
      <c r="F2884" s="81"/>
      <c r="G2884" s="88"/>
      <c r="H2884" s="85"/>
      <c r="I2884" s="86"/>
      <c r="J2884" s="185"/>
      <c r="K2884" s="189"/>
      <c r="L2884" s="189"/>
      <c r="M2884" s="138"/>
      <c r="N2884" s="138"/>
      <c r="O2884" s="138"/>
      <c r="S2884" s="72"/>
      <c r="T2884" s="72"/>
      <c r="U2884" s="72"/>
      <c r="V2884" s="72"/>
    </row>
    <row r="2885" spans="1:22" s="63" customFormat="1" ht="22.5" x14ac:dyDescent="0.25">
      <c r="A2885" s="87">
        <v>24.54</v>
      </c>
      <c r="B2885" s="81" t="s">
        <v>88</v>
      </c>
      <c r="C2885" s="82">
        <v>22</v>
      </c>
      <c r="D2885" s="131" t="s">
        <v>2638</v>
      </c>
      <c r="E2885" s="83" t="s">
        <v>2639</v>
      </c>
      <c r="F2885" s="81" t="s">
        <v>193</v>
      </c>
      <c r="G2885" s="90">
        <v>1.6733000000000001E-2</v>
      </c>
      <c r="H2885" s="85"/>
      <c r="I2885" s="86">
        <v>1595.88</v>
      </c>
      <c r="J2885" s="185">
        <f t="shared" ref="J2885:J2905" si="282">ROUND($I2885/$G2885*$N$11,2)</f>
        <v>108591.94</v>
      </c>
      <c r="K2885" s="189">
        <f t="shared" ref="K2885:K2905" si="283">ROUND(G2885*J2885,2)</f>
        <v>1817.07</v>
      </c>
      <c r="L2885" s="189"/>
      <c r="M2885" s="138"/>
      <c r="N2885" s="138"/>
      <c r="O2885" s="138"/>
      <c r="S2885" s="72"/>
      <c r="T2885" s="72"/>
      <c r="U2885" s="72"/>
      <c r="V2885" s="72"/>
    </row>
    <row r="2886" spans="1:22" s="63" customFormat="1" ht="22.5" x14ac:dyDescent="0.25">
      <c r="A2886" s="87">
        <v>24.55</v>
      </c>
      <c r="B2886" s="81" t="s">
        <v>88</v>
      </c>
      <c r="C2886" s="82">
        <v>23</v>
      </c>
      <c r="D2886" s="131" t="s">
        <v>2553</v>
      </c>
      <c r="E2886" s="83" t="s">
        <v>2554</v>
      </c>
      <c r="F2886" s="81" t="s">
        <v>196</v>
      </c>
      <c r="G2886" s="90">
        <v>5.1749999999999999E-3</v>
      </c>
      <c r="H2886" s="85"/>
      <c r="I2886" s="86">
        <v>955.91</v>
      </c>
      <c r="J2886" s="185">
        <f t="shared" si="282"/>
        <v>210318.67</v>
      </c>
      <c r="K2886" s="189">
        <f t="shared" si="283"/>
        <v>1088.4000000000001</v>
      </c>
      <c r="L2886" s="189"/>
      <c r="M2886" s="138"/>
      <c r="N2886" s="138"/>
      <c r="O2886" s="138"/>
      <c r="S2886" s="72"/>
      <c r="T2886" s="72"/>
      <c r="U2886" s="72"/>
      <c r="V2886" s="72"/>
    </row>
    <row r="2887" spans="1:22" s="63" customFormat="1" ht="15" x14ac:dyDescent="0.25">
      <c r="A2887" s="87">
        <v>24.56</v>
      </c>
      <c r="B2887" s="81" t="s">
        <v>88</v>
      </c>
      <c r="C2887" s="82">
        <v>24</v>
      </c>
      <c r="D2887" s="131" t="s">
        <v>2340</v>
      </c>
      <c r="E2887" s="83" t="s">
        <v>2341</v>
      </c>
      <c r="F2887" s="81" t="s">
        <v>319</v>
      </c>
      <c r="G2887" s="84">
        <v>1.7999999999999999E-2</v>
      </c>
      <c r="H2887" s="85"/>
      <c r="I2887" s="86">
        <v>195.58</v>
      </c>
      <c r="J2887" s="185">
        <f t="shared" si="282"/>
        <v>12371.52</v>
      </c>
      <c r="K2887" s="189">
        <f t="shared" si="283"/>
        <v>222.69</v>
      </c>
      <c r="L2887" s="189"/>
      <c r="M2887" s="138"/>
      <c r="N2887" s="138"/>
      <c r="O2887" s="138"/>
      <c r="S2887" s="72"/>
      <c r="T2887" s="72"/>
      <c r="U2887" s="72"/>
      <c r="V2887" s="72"/>
    </row>
    <row r="2888" spans="1:22" s="63" customFormat="1" ht="22.5" x14ac:dyDescent="0.25">
      <c r="A2888" s="87">
        <v>24.57</v>
      </c>
      <c r="B2888" s="81" t="s">
        <v>88</v>
      </c>
      <c r="C2888" s="80">
        <v>24.1</v>
      </c>
      <c r="D2888" s="131" t="s">
        <v>2426</v>
      </c>
      <c r="E2888" s="83" t="s">
        <v>2427</v>
      </c>
      <c r="F2888" s="81" t="s">
        <v>205</v>
      </c>
      <c r="G2888" s="84">
        <v>0.19800000000000001</v>
      </c>
      <c r="H2888" s="85"/>
      <c r="I2888" s="86">
        <v>62.16</v>
      </c>
      <c r="J2888" s="185">
        <f t="shared" si="282"/>
        <v>357.45</v>
      </c>
      <c r="K2888" s="189">
        <f t="shared" si="283"/>
        <v>70.78</v>
      </c>
      <c r="L2888" s="189"/>
      <c r="M2888" s="138"/>
      <c r="N2888" s="138"/>
      <c r="O2888" s="138"/>
      <c r="S2888" s="72"/>
      <c r="T2888" s="72"/>
      <c r="U2888" s="72"/>
      <c r="V2888" s="72"/>
    </row>
    <row r="2889" spans="1:22" s="63" customFormat="1" ht="22.5" x14ac:dyDescent="0.25">
      <c r="A2889" s="87">
        <v>24.58</v>
      </c>
      <c r="B2889" s="81" t="s">
        <v>88</v>
      </c>
      <c r="C2889" s="82">
        <v>25</v>
      </c>
      <c r="D2889" s="131" t="s">
        <v>2627</v>
      </c>
      <c r="E2889" s="83" t="s">
        <v>2628</v>
      </c>
      <c r="F2889" s="81" t="s">
        <v>193</v>
      </c>
      <c r="G2889" s="89">
        <v>9.3799999999999994E-3</v>
      </c>
      <c r="H2889" s="85"/>
      <c r="I2889" s="86">
        <v>74.38</v>
      </c>
      <c r="J2889" s="185">
        <f t="shared" si="282"/>
        <v>9028.69</v>
      </c>
      <c r="K2889" s="189">
        <f t="shared" si="283"/>
        <v>84.69</v>
      </c>
      <c r="L2889" s="189"/>
      <c r="M2889" s="138"/>
      <c r="N2889" s="138"/>
      <c r="O2889" s="138"/>
      <c r="S2889" s="72"/>
      <c r="T2889" s="72"/>
      <c r="U2889" s="72"/>
      <c r="V2889" s="72"/>
    </row>
    <row r="2890" spans="1:22" s="63" customFormat="1" ht="15" x14ac:dyDescent="0.25">
      <c r="A2890" s="87">
        <v>24.59</v>
      </c>
      <c r="B2890" s="81" t="s">
        <v>88</v>
      </c>
      <c r="C2890" s="82">
        <v>26</v>
      </c>
      <c r="D2890" s="131" t="s">
        <v>201</v>
      </c>
      <c r="E2890" s="83" t="s">
        <v>202</v>
      </c>
      <c r="F2890" s="81" t="s">
        <v>196</v>
      </c>
      <c r="G2890" s="88">
        <v>9.3799999999999994E-2</v>
      </c>
      <c r="H2890" s="85"/>
      <c r="I2890" s="86">
        <v>1530.98</v>
      </c>
      <c r="J2890" s="185">
        <f t="shared" si="282"/>
        <v>18583.939999999999</v>
      </c>
      <c r="K2890" s="189">
        <f t="shared" si="283"/>
        <v>1743.17</v>
      </c>
      <c r="L2890" s="189"/>
      <c r="M2890" s="138"/>
      <c r="N2890" s="138"/>
      <c r="O2890" s="138"/>
      <c r="S2890" s="72"/>
      <c r="T2890" s="72"/>
      <c r="U2890" s="72"/>
      <c r="V2890" s="72"/>
    </row>
    <row r="2891" spans="1:22" s="63" customFormat="1" ht="22.5" x14ac:dyDescent="0.25">
      <c r="A2891" s="87">
        <v>24.6</v>
      </c>
      <c r="B2891" s="81" t="s">
        <v>88</v>
      </c>
      <c r="C2891" s="82">
        <v>27</v>
      </c>
      <c r="D2891" s="131" t="s">
        <v>2590</v>
      </c>
      <c r="E2891" s="83" t="s">
        <v>2591</v>
      </c>
      <c r="F2891" s="81" t="s">
        <v>319</v>
      </c>
      <c r="G2891" s="84">
        <v>5.0999999999999997E-2</v>
      </c>
      <c r="H2891" s="85"/>
      <c r="I2891" s="86">
        <v>13384.73</v>
      </c>
      <c r="J2891" s="185">
        <f t="shared" si="282"/>
        <v>298820.65999999997</v>
      </c>
      <c r="K2891" s="189">
        <f t="shared" si="283"/>
        <v>15239.85</v>
      </c>
      <c r="L2891" s="189"/>
      <c r="M2891" s="138"/>
      <c r="N2891" s="138"/>
      <c r="O2891" s="138"/>
      <c r="S2891" s="72"/>
      <c r="T2891" s="72"/>
      <c r="U2891" s="72"/>
      <c r="V2891" s="72"/>
    </row>
    <row r="2892" spans="1:22" s="63" customFormat="1" ht="22.5" x14ac:dyDescent="0.25">
      <c r="A2892" s="87">
        <v>24.61</v>
      </c>
      <c r="B2892" s="81" t="s">
        <v>88</v>
      </c>
      <c r="C2892" s="80">
        <v>27.1</v>
      </c>
      <c r="D2892" s="131" t="s">
        <v>2592</v>
      </c>
      <c r="E2892" s="83" t="s">
        <v>2593</v>
      </c>
      <c r="F2892" s="81" t="s">
        <v>205</v>
      </c>
      <c r="G2892" s="89">
        <v>-9.894E-2</v>
      </c>
      <c r="H2892" s="85"/>
      <c r="I2892" s="86">
        <v>-995.54</v>
      </c>
      <c r="J2892" s="185">
        <f t="shared" si="282"/>
        <v>11456.66</v>
      </c>
      <c r="K2892" s="189">
        <f t="shared" si="283"/>
        <v>-1133.52</v>
      </c>
      <c r="L2892" s="189"/>
      <c r="M2892" s="138"/>
      <c r="N2892" s="138"/>
      <c r="O2892" s="138"/>
      <c r="S2892" s="72"/>
      <c r="T2892" s="72"/>
      <c r="U2892" s="72"/>
      <c r="V2892" s="72"/>
    </row>
    <row r="2893" spans="1:22" s="63" customFormat="1" ht="22.5" x14ac:dyDescent="0.25">
      <c r="A2893" s="87">
        <v>24.62</v>
      </c>
      <c r="B2893" s="81" t="s">
        <v>88</v>
      </c>
      <c r="C2893" s="80">
        <v>27.2</v>
      </c>
      <c r="D2893" s="131" t="s">
        <v>2594</v>
      </c>
      <c r="E2893" s="83" t="s">
        <v>2595</v>
      </c>
      <c r="F2893" s="81" t="s">
        <v>205</v>
      </c>
      <c r="G2893" s="88">
        <v>6.1000000000000004E-3</v>
      </c>
      <c r="H2893" s="85"/>
      <c r="I2893" s="86">
        <v>26.37</v>
      </c>
      <c r="J2893" s="185">
        <f t="shared" si="282"/>
        <v>4922.1099999999997</v>
      </c>
      <c r="K2893" s="189">
        <f t="shared" si="283"/>
        <v>30.02</v>
      </c>
      <c r="L2893" s="189"/>
      <c r="M2893" s="138"/>
      <c r="N2893" s="138"/>
      <c r="O2893" s="138"/>
      <c r="S2893" s="72"/>
      <c r="T2893" s="72"/>
      <c r="U2893" s="72"/>
      <c r="V2893" s="72"/>
    </row>
    <row r="2894" spans="1:22" s="63" customFormat="1" ht="22.5" x14ac:dyDescent="0.25">
      <c r="A2894" s="87">
        <v>24.63</v>
      </c>
      <c r="B2894" s="81" t="s">
        <v>88</v>
      </c>
      <c r="C2894" s="80">
        <v>27.3</v>
      </c>
      <c r="D2894" s="131" t="s">
        <v>2342</v>
      </c>
      <c r="E2894" s="83" t="s">
        <v>2343</v>
      </c>
      <c r="F2894" s="81" t="s">
        <v>205</v>
      </c>
      <c r="G2894" s="88">
        <v>8.1600000000000006E-2</v>
      </c>
      <c r="H2894" s="85"/>
      <c r="I2894" s="86">
        <v>109.49</v>
      </c>
      <c r="J2894" s="185">
        <f t="shared" si="282"/>
        <v>1527.76</v>
      </c>
      <c r="K2894" s="189">
        <f t="shared" si="283"/>
        <v>124.67</v>
      </c>
      <c r="L2894" s="189"/>
      <c r="M2894" s="138"/>
      <c r="N2894" s="138"/>
      <c r="O2894" s="138"/>
      <c r="S2894" s="72"/>
      <c r="T2894" s="72"/>
      <c r="U2894" s="72"/>
      <c r="V2894" s="72"/>
    </row>
    <row r="2895" spans="1:22" s="63" customFormat="1" ht="22.5" x14ac:dyDescent="0.25">
      <c r="A2895" s="87">
        <v>24.64</v>
      </c>
      <c r="B2895" s="81" t="s">
        <v>88</v>
      </c>
      <c r="C2895" s="80">
        <v>27.4</v>
      </c>
      <c r="D2895" s="131" t="s">
        <v>2650</v>
      </c>
      <c r="E2895" s="83" t="s">
        <v>4029</v>
      </c>
      <c r="F2895" s="81" t="s">
        <v>1512</v>
      </c>
      <c r="G2895" s="82">
        <v>1</v>
      </c>
      <c r="H2895" s="85"/>
      <c r="I2895" s="86">
        <v>10376.280000000001</v>
      </c>
      <c r="J2895" s="185">
        <f t="shared" si="282"/>
        <v>11814.43</v>
      </c>
      <c r="K2895" s="189">
        <f t="shared" si="283"/>
        <v>11814.43</v>
      </c>
      <c r="L2895" s="189"/>
      <c r="M2895" s="138"/>
      <c r="N2895" s="138"/>
      <c r="O2895" s="138"/>
      <c r="S2895" s="72"/>
      <c r="T2895" s="72"/>
      <c r="U2895" s="72"/>
      <c r="V2895" s="72"/>
    </row>
    <row r="2896" spans="1:22" s="63" customFormat="1" ht="22.5" x14ac:dyDescent="0.25">
      <c r="A2896" s="87">
        <v>24.65</v>
      </c>
      <c r="B2896" s="81" t="s">
        <v>88</v>
      </c>
      <c r="C2896" s="80">
        <v>27.5</v>
      </c>
      <c r="D2896" s="131" t="s">
        <v>2651</v>
      </c>
      <c r="E2896" s="83" t="s">
        <v>4030</v>
      </c>
      <c r="F2896" s="81" t="s">
        <v>1512</v>
      </c>
      <c r="G2896" s="82">
        <v>3</v>
      </c>
      <c r="H2896" s="85"/>
      <c r="I2896" s="86">
        <v>50131.68</v>
      </c>
      <c r="J2896" s="185">
        <f t="shared" si="282"/>
        <v>19026.64</v>
      </c>
      <c r="K2896" s="189">
        <f t="shared" si="283"/>
        <v>57079.92</v>
      </c>
      <c r="L2896" s="189"/>
      <c r="M2896" s="138"/>
      <c r="N2896" s="138"/>
      <c r="O2896" s="138"/>
      <c r="S2896" s="72"/>
      <c r="T2896" s="72"/>
      <c r="U2896" s="72"/>
      <c r="V2896" s="72"/>
    </row>
    <row r="2897" spans="1:22" s="63" customFormat="1" ht="22.5" x14ac:dyDescent="0.25">
      <c r="A2897" s="87">
        <v>24.66</v>
      </c>
      <c r="B2897" s="81" t="s">
        <v>88</v>
      </c>
      <c r="C2897" s="80">
        <v>27.6</v>
      </c>
      <c r="D2897" s="131" t="s">
        <v>2652</v>
      </c>
      <c r="E2897" s="83" t="s">
        <v>4031</v>
      </c>
      <c r="F2897" s="81" t="s">
        <v>1512</v>
      </c>
      <c r="G2897" s="82">
        <v>1</v>
      </c>
      <c r="H2897" s="85"/>
      <c r="I2897" s="86">
        <v>10376.280000000001</v>
      </c>
      <c r="J2897" s="185">
        <f t="shared" si="282"/>
        <v>11814.43</v>
      </c>
      <c r="K2897" s="189">
        <f t="shared" si="283"/>
        <v>11814.43</v>
      </c>
      <c r="L2897" s="189"/>
      <c r="M2897" s="138"/>
      <c r="N2897" s="138"/>
      <c r="O2897" s="138"/>
      <c r="S2897" s="72"/>
      <c r="T2897" s="72"/>
      <c r="U2897" s="72"/>
      <c r="V2897" s="72"/>
    </row>
    <row r="2898" spans="1:22" s="63" customFormat="1" ht="22.5" x14ac:dyDescent="0.25">
      <c r="A2898" s="87">
        <v>24.67</v>
      </c>
      <c r="B2898" s="81" t="s">
        <v>88</v>
      </c>
      <c r="C2898" s="80">
        <v>27.7</v>
      </c>
      <c r="D2898" s="131" t="s">
        <v>2653</v>
      </c>
      <c r="E2898" s="83" t="s">
        <v>4022</v>
      </c>
      <c r="F2898" s="81" t="s">
        <v>1512</v>
      </c>
      <c r="G2898" s="82">
        <v>1</v>
      </c>
      <c r="H2898" s="85"/>
      <c r="I2898" s="86">
        <v>8931.77</v>
      </c>
      <c r="J2898" s="185">
        <f t="shared" si="282"/>
        <v>10169.709999999999</v>
      </c>
      <c r="K2898" s="189">
        <f t="shared" si="283"/>
        <v>10169.709999999999</v>
      </c>
      <c r="L2898" s="189"/>
      <c r="M2898" s="138"/>
      <c r="N2898" s="138"/>
      <c r="O2898" s="138"/>
      <c r="S2898" s="72"/>
      <c r="T2898" s="72"/>
      <c r="U2898" s="72"/>
      <c r="V2898" s="72"/>
    </row>
    <row r="2899" spans="1:22" s="63" customFormat="1" ht="22.5" x14ac:dyDescent="0.25">
      <c r="A2899" s="87">
        <v>24.68</v>
      </c>
      <c r="B2899" s="81" t="s">
        <v>88</v>
      </c>
      <c r="C2899" s="80">
        <v>27.8</v>
      </c>
      <c r="D2899" s="131" t="s">
        <v>2609</v>
      </c>
      <c r="E2899" s="83" t="s">
        <v>2610</v>
      </c>
      <c r="F2899" s="81" t="s">
        <v>219</v>
      </c>
      <c r="G2899" s="82">
        <v>1</v>
      </c>
      <c r="H2899" s="85"/>
      <c r="I2899" s="86">
        <v>569.55999999999995</v>
      </c>
      <c r="J2899" s="185">
        <f t="shared" si="282"/>
        <v>648.5</v>
      </c>
      <c r="K2899" s="189">
        <f t="shared" si="283"/>
        <v>648.5</v>
      </c>
      <c r="L2899" s="189"/>
      <c r="M2899" s="138"/>
      <c r="N2899" s="138"/>
      <c r="O2899" s="138"/>
      <c r="S2899" s="72"/>
      <c r="T2899" s="72"/>
      <c r="U2899" s="72"/>
      <c r="V2899" s="72"/>
    </row>
    <row r="2900" spans="1:22" s="63" customFormat="1" ht="22.5" x14ac:dyDescent="0.25">
      <c r="A2900" s="87">
        <v>24.69</v>
      </c>
      <c r="B2900" s="81" t="s">
        <v>88</v>
      </c>
      <c r="C2900" s="80">
        <v>27.9</v>
      </c>
      <c r="D2900" s="131" t="s">
        <v>2617</v>
      </c>
      <c r="E2900" s="83" t="s">
        <v>2618</v>
      </c>
      <c r="F2900" s="81" t="s">
        <v>219</v>
      </c>
      <c r="G2900" s="82">
        <v>1</v>
      </c>
      <c r="H2900" s="85"/>
      <c r="I2900" s="86">
        <v>4121.83</v>
      </c>
      <c r="J2900" s="185">
        <f t="shared" si="282"/>
        <v>4693.12</v>
      </c>
      <c r="K2900" s="189">
        <f t="shared" si="283"/>
        <v>4693.12</v>
      </c>
      <c r="L2900" s="189"/>
      <c r="M2900" s="138"/>
      <c r="N2900" s="138"/>
      <c r="O2900" s="138"/>
      <c r="S2900" s="72"/>
      <c r="T2900" s="72"/>
      <c r="U2900" s="72"/>
      <c r="V2900" s="72"/>
    </row>
    <row r="2901" spans="1:22" s="63" customFormat="1" ht="22.5" x14ac:dyDescent="0.25">
      <c r="A2901" s="87">
        <v>24.7</v>
      </c>
      <c r="B2901" s="81" t="s">
        <v>88</v>
      </c>
      <c r="C2901" s="82">
        <v>28</v>
      </c>
      <c r="D2901" s="131" t="s">
        <v>2624</v>
      </c>
      <c r="E2901" s="83" t="s">
        <v>2625</v>
      </c>
      <c r="F2901" s="81" t="s">
        <v>207</v>
      </c>
      <c r="G2901" s="88">
        <v>0.1103</v>
      </c>
      <c r="H2901" s="85"/>
      <c r="I2901" s="86">
        <v>3762.8</v>
      </c>
      <c r="J2901" s="185">
        <f t="shared" si="282"/>
        <v>38842.47</v>
      </c>
      <c r="K2901" s="189">
        <f t="shared" si="283"/>
        <v>4284.32</v>
      </c>
      <c r="L2901" s="189"/>
      <c r="M2901" s="138"/>
      <c r="N2901" s="138"/>
      <c r="O2901" s="138"/>
      <c r="S2901" s="72"/>
      <c r="T2901" s="72"/>
      <c r="U2901" s="72"/>
      <c r="V2901" s="72"/>
    </row>
    <row r="2902" spans="1:22" s="63" customFormat="1" ht="15" x14ac:dyDescent="0.25">
      <c r="A2902" s="87">
        <v>24.71</v>
      </c>
      <c r="B2902" s="81" t="s">
        <v>88</v>
      </c>
      <c r="C2902" s="80">
        <v>28.1</v>
      </c>
      <c r="D2902" s="131" t="s">
        <v>2621</v>
      </c>
      <c r="E2902" s="83" t="s">
        <v>4023</v>
      </c>
      <c r="F2902" s="81" t="s">
        <v>219</v>
      </c>
      <c r="G2902" s="82">
        <v>32</v>
      </c>
      <c r="H2902" s="85"/>
      <c r="I2902" s="86">
        <v>22648.26</v>
      </c>
      <c r="J2902" s="185">
        <f t="shared" si="282"/>
        <v>805.85</v>
      </c>
      <c r="K2902" s="189">
        <f t="shared" si="283"/>
        <v>25787.200000000001</v>
      </c>
      <c r="L2902" s="189"/>
      <c r="M2902" s="138"/>
      <c r="N2902" s="138"/>
      <c r="O2902" s="138"/>
      <c r="S2902" s="72"/>
      <c r="T2902" s="72"/>
      <c r="U2902" s="72"/>
      <c r="V2902" s="72"/>
    </row>
    <row r="2903" spans="1:22" s="63" customFormat="1" ht="22.5" x14ac:dyDescent="0.25">
      <c r="A2903" s="87">
        <v>24.72</v>
      </c>
      <c r="B2903" s="81" t="s">
        <v>88</v>
      </c>
      <c r="C2903" s="80">
        <v>28.2</v>
      </c>
      <c r="D2903" s="131" t="s">
        <v>2622</v>
      </c>
      <c r="E2903" s="83" t="s">
        <v>2623</v>
      </c>
      <c r="F2903" s="81" t="s">
        <v>226</v>
      </c>
      <c r="G2903" s="88">
        <v>4.9700000000000001E-2</v>
      </c>
      <c r="H2903" s="85"/>
      <c r="I2903" s="86">
        <v>12689.34</v>
      </c>
      <c r="J2903" s="185">
        <f t="shared" si="282"/>
        <v>290705.89</v>
      </c>
      <c r="K2903" s="189">
        <f t="shared" si="283"/>
        <v>14448.08</v>
      </c>
      <c r="L2903" s="189"/>
      <c r="M2903" s="138"/>
      <c r="N2903" s="138"/>
      <c r="O2903" s="138"/>
      <c r="S2903" s="72"/>
      <c r="T2903" s="72"/>
      <c r="U2903" s="72"/>
      <c r="V2903" s="72"/>
    </row>
    <row r="2904" spans="1:22" s="63" customFormat="1" ht="15" x14ac:dyDescent="0.25">
      <c r="A2904" s="87">
        <v>24.73</v>
      </c>
      <c r="B2904" s="81" t="s">
        <v>88</v>
      </c>
      <c r="C2904" s="82">
        <v>29</v>
      </c>
      <c r="D2904" s="131" t="s">
        <v>294</v>
      </c>
      <c r="E2904" s="83" t="s">
        <v>2654</v>
      </c>
      <c r="F2904" s="81" t="s">
        <v>196</v>
      </c>
      <c r="G2904" s="84">
        <v>6.0000000000000001E-3</v>
      </c>
      <c r="H2904" s="85"/>
      <c r="I2904" s="86">
        <v>1206.26</v>
      </c>
      <c r="J2904" s="185">
        <f t="shared" si="282"/>
        <v>228907.94</v>
      </c>
      <c r="K2904" s="189">
        <f t="shared" si="283"/>
        <v>1373.45</v>
      </c>
      <c r="L2904" s="189"/>
      <c r="M2904" s="138"/>
      <c r="N2904" s="138"/>
      <c r="O2904" s="138"/>
      <c r="S2904" s="72"/>
      <c r="T2904" s="72"/>
      <c r="U2904" s="72"/>
      <c r="V2904" s="72"/>
    </row>
    <row r="2905" spans="1:22" s="63" customFormat="1" ht="22.5" x14ac:dyDescent="0.25">
      <c r="A2905" s="87">
        <v>24.74</v>
      </c>
      <c r="B2905" s="81" t="s">
        <v>88</v>
      </c>
      <c r="C2905" s="80">
        <v>29.1</v>
      </c>
      <c r="D2905" s="131" t="s">
        <v>2298</v>
      </c>
      <c r="E2905" s="83" t="s">
        <v>2299</v>
      </c>
      <c r="F2905" s="81" t="s">
        <v>205</v>
      </c>
      <c r="G2905" s="84">
        <v>0.61199999999999999</v>
      </c>
      <c r="H2905" s="85"/>
      <c r="I2905" s="86">
        <v>3363.39</v>
      </c>
      <c r="J2905" s="185">
        <f t="shared" si="282"/>
        <v>6257.44</v>
      </c>
      <c r="K2905" s="189">
        <f t="shared" si="283"/>
        <v>3829.55</v>
      </c>
      <c r="L2905" s="189"/>
      <c r="M2905" s="138"/>
      <c r="N2905" s="138"/>
      <c r="O2905" s="138"/>
      <c r="S2905" s="72"/>
      <c r="T2905" s="72"/>
      <c r="U2905" s="72"/>
      <c r="V2905" s="72"/>
    </row>
    <row r="2906" spans="1:22" s="128" customFormat="1" ht="12.75" x14ac:dyDescent="0.25">
      <c r="A2906" s="237"/>
      <c r="B2906" s="125"/>
      <c r="C2906" s="236"/>
      <c r="D2906" s="77"/>
      <c r="E2906" s="126" t="s">
        <v>3387</v>
      </c>
      <c r="F2906" s="125"/>
      <c r="G2906" s="242"/>
      <c r="H2906" s="127"/>
      <c r="I2906" s="78"/>
      <c r="J2906" s="238"/>
      <c r="K2906" s="239"/>
      <c r="L2906" s="239"/>
      <c r="M2906" s="79"/>
      <c r="N2906" s="79"/>
      <c r="O2906" s="79"/>
      <c r="S2906" s="129"/>
      <c r="T2906" s="129"/>
      <c r="U2906" s="129"/>
      <c r="V2906" s="129"/>
    </row>
    <row r="2907" spans="1:22" s="63" customFormat="1" ht="22.5" x14ac:dyDescent="0.25">
      <c r="A2907" s="87">
        <v>24.75</v>
      </c>
      <c r="B2907" s="81" t="s">
        <v>88</v>
      </c>
      <c r="C2907" s="82">
        <v>30</v>
      </c>
      <c r="D2907" s="131" t="s">
        <v>2638</v>
      </c>
      <c r="E2907" s="83" t="s">
        <v>2639</v>
      </c>
      <c r="F2907" s="81" t="s">
        <v>193</v>
      </c>
      <c r="G2907" s="90">
        <v>0.19590099999999999</v>
      </c>
      <c r="H2907" s="85"/>
      <c r="I2907" s="86">
        <v>18684.2</v>
      </c>
      <c r="J2907" s="185">
        <f t="shared" ref="J2907:J2934" si="284">ROUND($I2907/$G2907*$N$11,2)</f>
        <v>108594.8</v>
      </c>
      <c r="K2907" s="189">
        <f t="shared" ref="K2907:K2934" si="285">ROUND(G2907*J2907,2)</f>
        <v>21273.83</v>
      </c>
      <c r="L2907" s="189"/>
      <c r="M2907" s="138"/>
      <c r="N2907" s="138"/>
      <c r="O2907" s="138"/>
      <c r="S2907" s="72"/>
      <c r="T2907" s="72"/>
      <c r="U2907" s="72"/>
      <c r="V2907" s="72"/>
    </row>
    <row r="2908" spans="1:22" s="63" customFormat="1" ht="22.5" x14ac:dyDescent="0.25">
      <c r="A2908" s="87">
        <v>24.76</v>
      </c>
      <c r="B2908" s="81" t="s">
        <v>88</v>
      </c>
      <c r="C2908" s="82">
        <v>31</v>
      </c>
      <c r="D2908" s="131" t="s">
        <v>2553</v>
      </c>
      <c r="E2908" s="83" t="s">
        <v>2554</v>
      </c>
      <c r="F2908" s="81" t="s">
        <v>196</v>
      </c>
      <c r="G2908" s="90">
        <v>6.0588000000000003E-2</v>
      </c>
      <c r="H2908" s="85"/>
      <c r="I2908" s="86">
        <v>11185.75</v>
      </c>
      <c r="J2908" s="185">
        <f t="shared" si="284"/>
        <v>210208.21</v>
      </c>
      <c r="K2908" s="189">
        <f t="shared" si="285"/>
        <v>12736.1</v>
      </c>
      <c r="L2908" s="189"/>
      <c r="M2908" s="138"/>
      <c r="N2908" s="138"/>
      <c r="O2908" s="138"/>
      <c r="S2908" s="72"/>
      <c r="T2908" s="72"/>
      <c r="U2908" s="72"/>
      <c r="V2908" s="72"/>
    </row>
    <row r="2909" spans="1:22" s="63" customFormat="1" ht="15" x14ac:dyDescent="0.25">
      <c r="A2909" s="87">
        <v>24.77</v>
      </c>
      <c r="B2909" s="81" t="s">
        <v>88</v>
      </c>
      <c r="C2909" s="82">
        <v>32</v>
      </c>
      <c r="D2909" s="131" t="s">
        <v>2340</v>
      </c>
      <c r="E2909" s="83" t="s">
        <v>2555</v>
      </c>
      <c r="F2909" s="81" t="s">
        <v>319</v>
      </c>
      <c r="G2909" s="84">
        <v>0.32400000000000001</v>
      </c>
      <c r="H2909" s="85"/>
      <c r="I2909" s="86">
        <v>3509.27</v>
      </c>
      <c r="J2909" s="185">
        <f t="shared" si="284"/>
        <v>12332.27</v>
      </c>
      <c r="K2909" s="189">
        <f t="shared" si="285"/>
        <v>3995.66</v>
      </c>
      <c r="L2909" s="189"/>
      <c r="M2909" s="138"/>
      <c r="N2909" s="138"/>
      <c r="O2909" s="138"/>
      <c r="S2909" s="72"/>
      <c r="T2909" s="72"/>
      <c r="U2909" s="72"/>
      <c r="V2909" s="72"/>
    </row>
    <row r="2910" spans="1:22" s="63" customFormat="1" ht="33.75" x14ac:dyDescent="0.25">
      <c r="A2910" s="87">
        <v>24.78</v>
      </c>
      <c r="B2910" s="81" t="s">
        <v>88</v>
      </c>
      <c r="C2910" s="82">
        <v>33</v>
      </c>
      <c r="D2910" s="131" t="s">
        <v>2655</v>
      </c>
      <c r="E2910" s="83" t="s">
        <v>2656</v>
      </c>
      <c r="F2910" s="81" t="s">
        <v>193</v>
      </c>
      <c r="G2910" s="89">
        <v>1.908E-2</v>
      </c>
      <c r="H2910" s="85"/>
      <c r="I2910" s="86">
        <v>127.08</v>
      </c>
      <c r="J2910" s="185">
        <f t="shared" si="284"/>
        <v>7583.51</v>
      </c>
      <c r="K2910" s="189">
        <f t="shared" si="285"/>
        <v>144.69</v>
      </c>
      <c r="L2910" s="189"/>
      <c r="M2910" s="138"/>
      <c r="N2910" s="138"/>
      <c r="O2910" s="138"/>
      <c r="S2910" s="72"/>
      <c r="T2910" s="72"/>
      <c r="U2910" s="72"/>
      <c r="V2910" s="72"/>
    </row>
    <row r="2911" spans="1:22" s="63" customFormat="1" ht="22.5" x14ac:dyDescent="0.25">
      <c r="A2911" s="87">
        <v>24.79</v>
      </c>
      <c r="B2911" s="81" t="s">
        <v>88</v>
      </c>
      <c r="C2911" s="80">
        <v>33.1</v>
      </c>
      <c r="D2911" s="131" t="s">
        <v>2426</v>
      </c>
      <c r="E2911" s="83" t="s">
        <v>2427</v>
      </c>
      <c r="F2911" s="81" t="s">
        <v>205</v>
      </c>
      <c r="G2911" s="84">
        <v>24.552</v>
      </c>
      <c r="H2911" s="85"/>
      <c r="I2911" s="86">
        <v>7711.39</v>
      </c>
      <c r="J2911" s="185">
        <f t="shared" si="284"/>
        <v>357.62</v>
      </c>
      <c r="K2911" s="189">
        <f t="shared" si="285"/>
        <v>8780.2900000000009</v>
      </c>
      <c r="L2911" s="189"/>
      <c r="M2911" s="138"/>
      <c r="N2911" s="138"/>
      <c r="O2911" s="138"/>
      <c r="S2911" s="72"/>
      <c r="T2911" s="72"/>
      <c r="U2911" s="72"/>
      <c r="V2911" s="72"/>
    </row>
    <row r="2912" spans="1:22" s="63" customFormat="1" ht="22.5" x14ac:dyDescent="0.25">
      <c r="A2912" s="87">
        <v>24.8</v>
      </c>
      <c r="B2912" s="81" t="s">
        <v>88</v>
      </c>
      <c r="C2912" s="82">
        <v>34</v>
      </c>
      <c r="D2912" s="131" t="s">
        <v>2627</v>
      </c>
      <c r="E2912" s="83" t="s">
        <v>2628</v>
      </c>
      <c r="F2912" s="81" t="s">
        <v>193</v>
      </c>
      <c r="G2912" s="89">
        <v>0.17963999999999999</v>
      </c>
      <c r="H2912" s="85"/>
      <c r="I2912" s="86">
        <v>1430.04</v>
      </c>
      <c r="J2912" s="185">
        <f t="shared" si="284"/>
        <v>9063.93</v>
      </c>
      <c r="K2912" s="189">
        <f t="shared" si="285"/>
        <v>1628.24</v>
      </c>
      <c r="L2912" s="189"/>
      <c r="M2912" s="138"/>
      <c r="N2912" s="138"/>
      <c r="O2912" s="138"/>
      <c r="S2912" s="72"/>
      <c r="T2912" s="72"/>
      <c r="U2912" s="72"/>
      <c r="V2912" s="72"/>
    </row>
    <row r="2913" spans="1:22" s="63" customFormat="1" ht="15" x14ac:dyDescent="0.25">
      <c r="A2913" s="87">
        <v>24.81</v>
      </c>
      <c r="B2913" s="81" t="s">
        <v>88</v>
      </c>
      <c r="C2913" s="82">
        <v>35</v>
      </c>
      <c r="D2913" s="131" t="s">
        <v>201</v>
      </c>
      <c r="E2913" s="83" t="s">
        <v>202</v>
      </c>
      <c r="F2913" s="81" t="s">
        <v>196</v>
      </c>
      <c r="G2913" s="88">
        <v>1.7964</v>
      </c>
      <c r="H2913" s="85"/>
      <c r="I2913" s="86">
        <v>29333.52</v>
      </c>
      <c r="J2913" s="185">
        <f t="shared" si="284"/>
        <v>18592.27</v>
      </c>
      <c r="K2913" s="189">
        <f t="shared" si="285"/>
        <v>33399.15</v>
      </c>
      <c r="L2913" s="189"/>
      <c r="M2913" s="138"/>
      <c r="N2913" s="138"/>
      <c r="O2913" s="138"/>
      <c r="S2913" s="72"/>
      <c r="T2913" s="72"/>
      <c r="U2913" s="72"/>
      <c r="V2913" s="72"/>
    </row>
    <row r="2914" spans="1:22" s="63" customFormat="1" ht="15" x14ac:dyDescent="0.25">
      <c r="A2914" s="87">
        <v>24.82</v>
      </c>
      <c r="B2914" s="81" t="s">
        <v>88</v>
      </c>
      <c r="C2914" s="82">
        <v>36</v>
      </c>
      <c r="D2914" s="131" t="s">
        <v>2657</v>
      </c>
      <c r="E2914" s="83" t="s">
        <v>2658</v>
      </c>
      <c r="F2914" s="81" t="s">
        <v>2350</v>
      </c>
      <c r="G2914" s="84">
        <v>5.3999999999999999E-2</v>
      </c>
      <c r="H2914" s="85"/>
      <c r="I2914" s="86">
        <v>17917.5</v>
      </c>
      <c r="J2914" s="185">
        <f t="shared" si="284"/>
        <v>377793.81</v>
      </c>
      <c r="K2914" s="189">
        <f t="shared" si="285"/>
        <v>20400.87</v>
      </c>
      <c r="L2914" s="189"/>
      <c r="M2914" s="138"/>
      <c r="N2914" s="138"/>
      <c r="O2914" s="138"/>
      <c r="S2914" s="72"/>
      <c r="T2914" s="72"/>
      <c r="U2914" s="72"/>
      <c r="V2914" s="72"/>
    </row>
    <row r="2915" spans="1:22" s="63" customFormat="1" ht="22.5" x14ac:dyDescent="0.25">
      <c r="A2915" s="87">
        <v>24.83</v>
      </c>
      <c r="B2915" s="81" t="s">
        <v>88</v>
      </c>
      <c r="C2915" s="80">
        <v>36.1</v>
      </c>
      <c r="D2915" s="131" t="s">
        <v>2659</v>
      </c>
      <c r="E2915" s="83" t="s">
        <v>2660</v>
      </c>
      <c r="F2915" s="81" t="s">
        <v>334</v>
      </c>
      <c r="G2915" s="84">
        <v>54.432000000000002</v>
      </c>
      <c r="H2915" s="85"/>
      <c r="I2915" s="86">
        <v>33781.74</v>
      </c>
      <c r="J2915" s="185">
        <f t="shared" si="284"/>
        <v>706.64</v>
      </c>
      <c r="K2915" s="189">
        <f t="shared" si="285"/>
        <v>38463.83</v>
      </c>
      <c r="L2915" s="189"/>
      <c r="M2915" s="138"/>
      <c r="N2915" s="138"/>
      <c r="O2915" s="138"/>
      <c r="S2915" s="72"/>
      <c r="T2915" s="72"/>
      <c r="U2915" s="72"/>
      <c r="V2915" s="72"/>
    </row>
    <row r="2916" spans="1:22" s="63" customFormat="1" ht="22.5" x14ac:dyDescent="0.25">
      <c r="A2916" s="87">
        <v>24.84</v>
      </c>
      <c r="B2916" s="81" t="s">
        <v>88</v>
      </c>
      <c r="C2916" s="80">
        <v>36.200000000000003</v>
      </c>
      <c r="D2916" s="131" t="s">
        <v>2661</v>
      </c>
      <c r="E2916" s="83" t="s">
        <v>2662</v>
      </c>
      <c r="F2916" s="81" t="s">
        <v>219</v>
      </c>
      <c r="G2916" s="82">
        <v>6</v>
      </c>
      <c r="H2916" s="85"/>
      <c r="I2916" s="86">
        <v>3977.35</v>
      </c>
      <c r="J2916" s="185">
        <f t="shared" si="284"/>
        <v>754.77</v>
      </c>
      <c r="K2916" s="189">
        <f t="shared" si="285"/>
        <v>4528.62</v>
      </c>
      <c r="L2916" s="189"/>
      <c r="M2916" s="138"/>
      <c r="N2916" s="138"/>
      <c r="O2916" s="138"/>
      <c r="S2916" s="72"/>
      <c r="T2916" s="72"/>
      <c r="U2916" s="72"/>
      <c r="V2916" s="72"/>
    </row>
    <row r="2917" spans="1:22" s="63" customFormat="1" ht="22.5" x14ac:dyDescent="0.25">
      <c r="A2917" s="87">
        <v>24.85</v>
      </c>
      <c r="B2917" s="81" t="s">
        <v>88</v>
      </c>
      <c r="C2917" s="82">
        <v>37</v>
      </c>
      <c r="D2917" s="131" t="s">
        <v>671</v>
      </c>
      <c r="E2917" s="83" t="s">
        <v>672</v>
      </c>
      <c r="F2917" s="81" t="s">
        <v>566</v>
      </c>
      <c r="G2917" s="80">
        <v>1.9</v>
      </c>
      <c r="H2917" s="85"/>
      <c r="I2917" s="86">
        <v>22428.07</v>
      </c>
      <c r="J2917" s="185">
        <f t="shared" si="284"/>
        <v>13440.32</v>
      </c>
      <c r="K2917" s="189">
        <f t="shared" si="285"/>
        <v>25536.61</v>
      </c>
      <c r="L2917" s="189"/>
      <c r="M2917" s="138"/>
      <c r="N2917" s="138"/>
      <c r="O2917" s="138"/>
      <c r="S2917" s="72"/>
      <c r="T2917" s="72"/>
      <c r="U2917" s="72"/>
      <c r="V2917" s="72"/>
    </row>
    <row r="2918" spans="1:22" s="63" customFormat="1" ht="22.5" x14ac:dyDescent="0.25">
      <c r="A2918" s="87">
        <v>24.86</v>
      </c>
      <c r="B2918" s="81" t="s">
        <v>88</v>
      </c>
      <c r="C2918" s="80">
        <v>37.1</v>
      </c>
      <c r="D2918" s="131" t="s">
        <v>2663</v>
      </c>
      <c r="E2918" s="83" t="s">
        <v>4032</v>
      </c>
      <c r="F2918" s="81" t="s">
        <v>219</v>
      </c>
      <c r="G2918" s="82">
        <v>12</v>
      </c>
      <c r="H2918" s="85"/>
      <c r="I2918" s="86">
        <v>3931.35</v>
      </c>
      <c r="J2918" s="185">
        <f t="shared" si="284"/>
        <v>373.02</v>
      </c>
      <c r="K2918" s="189">
        <f t="shared" si="285"/>
        <v>4476.24</v>
      </c>
      <c r="L2918" s="189"/>
      <c r="M2918" s="138"/>
      <c r="N2918" s="138"/>
      <c r="O2918" s="138"/>
      <c r="S2918" s="72"/>
      <c r="T2918" s="72"/>
      <c r="U2918" s="72"/>
      <c r="V2918" s="72"/>
    </row>
    <row r="2919" spans="1:22" s="63" customFormat="1" ht="33.75" x14ac:dyDescent="0.25">
      <c r="A2919" s="87">
        <v>24.87</v>
      </c>
      <c r="B2919" s="81" t="s">
        <v>88</v>
      </c>
      <c r="C2919" s="80">
        <v>37.200000000000003</v>
      </c>
      <c r="D2919" s="131" t="s">
        <v>2664</v>
      </c>
      <c r="E2919" s="83" t="s">
        <v>4033</v>
      </c>
      <c r="F2919" s="81" t="s">
        <v>219</v>
      </c>
      <c r="G2919" s="82">
        <v>12</v>
      </c>
      <c r="H2919" s="85"/>
      <c r="I2919" s="86">
        <v>3829.32</v>
      </c>
      <c r="J2919" s="185">
        <f t="shared" si="284"/>
        <v>363.34</v>
      </c>
      <c r="K2919" s="189">
        <f t="shared" si="285"/>
        <v>4360.08</v>
      </c>
      <c r="L2919" s="189"/>
      <c r="M2919" s="138"/>
      <c r="N2919" s="138"/>
      <c r="O2919" s="138"/>
      <c r="S2919" s="72"/>
      <c r="T2919" s="72"/>
      <c r="U2919" s="72"/>
      <c r="V2919" s="72"/>
    </row>
    <row r="2920" spans="1:22" s="63" customFormat="1" ht="22.5" x14ac:dyDescent="0.25">
      <c r="A2920" s="87">
        <v>24.88</v>
      </c>
      <c r="B2920" s="81" t="s">
        <v>88</v>
      </c>
      <c r="C2920" s="80">
        <v>37.299999999999997</v>
      </c>
      <c r="D2920" s="131" t="s">
        <v>2665</v>
      </c>
      <c r="E2920" s="83" t="s">
        <v>4034</v>
      </c>
      <c r="F2920" s="81" t="s">
        <v>219</v>
      </c>
      <c r="G2920" s="82">
        <v>4</v>
      </c>
      <c r="H2920" s="85"/>
      <c r="I2920" s="86">
        <v>5917.54</v>
      </c>
      <c r="J2920" s="185">
        <f t="shared" si="284"/>
        <v>1684.43</v>
      </c>
      <c r="K2920" s="189">
        <f t="shared" si="285"/>
        <v>6737.72</v>
      </c>
      <c r="L2920" s="189"/>
      <c r="M2920" s="138"/>
      <c r="N2920" s="138"/>
      <c r="O2920" s="138"/>
      <c r="S2920" s="72"/>
      <c r="T2920" s="72"/>
      <c r="U2920" s="72"/>
      <c r="V2920" s="72"/>
    </row>
    <row r="2921" spans="1:22" s="63" customFormat="1" ht="22.5" x14ac:dyDescent="0.25">
      <c r="A2921" s="87">
        <v>24.89</v>
      </c>
      <c r="B2921" s="81" t="s">
        <v>88</v>
      </c>
      <c r="C2921" s="80">
        <v>37.4</v>
      </c>
      <c r="D2921" s="131" t="s">
        <v>2665</v>
      </c>
      <c r="E2921" s="83" t="s">
        <v>4035</v>
      </c>
      <c r="F2921" s="81" t="s">
        <v>219</v>
      </c>
      <c r="G2921" s="82">
        <v>1</v>
      </c>
      <c r="H2921" s="85"/>
      <c r="I2921" s="86">
        <v>1479.41</v>
      </c>
      <c r="J2921" s="185">
        <f t="shared" si="284"/>
        <v>1684.46</v>
      </c>
      <c r="K2921" s="189">
        <f t="shared" si="285"/>
        <v>1684.46</v>
      </c>
      <c r="L2921" s="189"/>
      <c r="M2921" s="138"/>
      <c r="N2921" s="138"/>
      <c r="O2921" s="138"/>
      <c r="S2921" s="72"/>
      <c r="T2921" s="72"/>
      <c r="U2921" s="72"/>
      <c r="V2921" s="72"/>
    </row>
    <row r="2922" spans="1:22" s="63" customFormat="1" ht="22.5" x14ac:dyDescent="0.25">
      <c r="A2922" s="87">
        <v>24.9</v>
      </c>
      <c r="B2922" s="81" t="s">
        <v>88</v>
      </c>
      <c r="C2922" s="80">
        <v>37.5</v>
      </c>
      <c r="D2922" s="131" t="s">
        <v>2666</v>
      </c>
      <c r="E2922" s="83" t="s">
        <v>4036</v>
      </c>
      <c r="F2922" s="81" t="s">
        <v>219</v>
      </c>
      <c r="G2922" s="82">
        <v>2</v>
      </c>
      <c r="H2922" s="85"/>
      <c r="I2922" s="86">
        <v>1014.72</v>
      </c>
      <c r="J2922" s="185">
        <f t="shared" si="284"/>
        <v>577.67999999999995</v>
      </c>
      <c r="K2922" s="189">
        <f t="shared" si="285"/>
        <v>1155.3599999999999</v>
      </c>
      <c r="L2922" s="189"/>
      <c r="M2922" s="138"/>
      <c r="N2922" s="138"/>
      <c r="O2922" s="138"/>
      <c r="S2922" s="72"/>
      <c r="T2922" s="72"/>
      <c r="U2922" s="72"/>
      <c r="V2922" s="72"/>
    </row>
    <row r="2923" spans="1:22" s="63" customFormat="1" ht="15" x14ac:dyDescent="0.25">
      <c r="A2923" s="87">
        <v>24.91</v>
      </c>
      <c r="B2923" s="81" t="s">
        <v>88</v>
      </c>
      <c r="C2923" s="82">
        <v>38</v>
      </c>
      <c r="D2923" s="131" t="s">
        <v>2667</v>
      </c>
      <c r="E2923" s="83" t="s">
        <v>2668</v>
      </c>
      <c r="F2923" s="81" t="s">
        <v>566</v>
      </c>
      <c r="G2923" s="80">
        <v>0.2</v>
      </c>
      <c r="H2923" s="85"/>
      <c r="I2923" s="86">
        <v>3481.99</v>
      </c>
      <c r="J2923" s="185">
        <f t="shared" si="284"/>
        <v>19822.97</v>
      </c>
      <c r="K2923" s="189">
        <f t="shared" si="285"/>
        <v>3964.59</v>
      </c>
      <c r="L2923" s="189"/>
      <c r="M2923" s="138"/>
      <c r="N2923" s="138"/>
      <c r="O2923" s="138"/>
      <c r="S2923" s="72"/>
      <c r="T2923" s="72"/>
      <c r="U2923" s="72"/>
      <c r="V2923" s="72"/>
    </row>
    <row r="2924" spans="1:22" s="63" customFormat="1" ht="22.5" x14ac:dyDescent="0.25">
      <c r="A2924" s="87">
        <v>24.92</v>
      </c>
      <c r="B2924" s="81" t="s">
        <v>88</v>
      </c>
      <c r="C2924" s="80">
        <v>38.1</v>
      </c>
      <c r="D2924" s="131" t="s">
        <v>2669</v>
      </c>
      <c r="E2924" s="83" t="s">
        <v>4037</v>
      </c>
      <c r="F2924" s="81" t="s">
        <v>219</v>
      </c>
      <c r="G2924" s="82">
        <v>2</v>
      </c>
      <c r="H2924" s="85"/>
      <c r="I2924" s="86">
        <v>1229.6099999999999</v>
      </c>
      <c r="J2924" s="185">
        <f t="shared" si="284"/>
        <v>700.02</v>
      </c>
      <c r="K2924" s="189">
        <f t="shared" si="285"/>
        <v>1400.04</v>
      </c>
      <c r="L2924" s="189"/>
      <c r="M2924" s="138"/>
      <c r="N2924" s="138"/>
      <c r="O2924" s="138"/>
      <c r="S2924" s="72"/>
      <c r="T2924" s="72"/>
      <c r="U2924" s="72"/>
      <c r="V2924" s="72"/>
    </row>
    <row r="2925" spans="1:22" s="63" customFormat="1" ht="15" x14ac:dyDescent="0.25">
      <c r="A2925" s="87">
        <v>24.93</v>
      </c>
      <c r="B2925" s="81" t="s">
        <v>88</v>
      </c>
      <c r="C2925" s="82">
        <v>39</v>
      </c>
      <c r="D2925" s="131" t="s">
        <v>2670</v>
      </c>
      <c r="E2925" s="83" t="s">
        <v>2671</v>
      </c>
      <c r="F2925" s="81" t="s">
        <v>219</v>
      </c>
      <c r="G2925" s="82">
        <v>3</v>
      </c>
      <c r="H2925" s="85"/>
      <c r="I2925" s="86">
        <v>6302.78</v>
      </c>
      <c r="J2925" s="185">
        <f t="shared" si="284"/>
        <v>2392.12</v>
      </c>
      <c r="K2925" s="189">
        <f t="shared" si="285"/>
        <v>7176.36</v>
      </c>
      <c r="L2925" s="189"/>
      <c r="M2925" s="138"/>
      <c r="N2925" s="138"/>
      <c r="O2925" s="138"/>
      <c r="S2925" s="72"/>
      <c r="T2925" s="72"/>
      <c r="U2925" s="72"/>
      <c r="V2925" s="72"/>
    </row>
    <row r="2926" spans="1:22" s="63" customFormat="1" ht="22.5" x14ac:dyDescent="0.25">
      <c r="A2926" s="87">
        <v>24.94</v>
      </c>
      <c r="B2926" s="81" t="s">
        <v>88</v>
      </c>
      <c r="C2926" s="80">
        <v>39.1</v>
      </c>
      <c r="D2926" s="131" t="s">
        <v>2672</v>
      </c>
      <c r="E2926" s="83" t="s">
        <v>2673</v>
      </c>
      <c r="F2926" s="81" t="s">
        <v>219</v>
      </c>
      <c r="G2926" s="82">
        <v>2</v>
      </c>
      <c r="H2926" s="85"/>
      <c r="I2926" s="86">
        <v>6923.56</v>
      </c>
      <c r="J2926" s="185">
        <f t="shared" si="284"/>
        <v>3941.58</v>
      </c>
      <c r="K2926" s="189">
        <f t="shared" si="285"/>
        <v>7883.16</v>
      </c>
      <c r="L2926" s="189"/>
      <c r="M2926" s="138"/>
      <c r="N2926" s="138"/>
      <c r="O2926" s="138"/>
      <c r="S2926" s="72"/>
      <c r="T2926" s="72"/>
      <c r="U2926" s="72"/>
      <c r="V2926" s="72"/>
    </row>
    <row r="2927" spans="1:22" s="63" customFormat="1" ht="22.5" x14ac:dyDescent="0.25">
      <c r="A2927" s="87">
        <v>24.95</v>
      </c>
      <c r="B2927" s="81" t="s">
        <v>88</v>
      </c>
      <c r="C2927" s="80">
        <v>39.200000000000003</v>
      </c>
      <c r="D2927" s="131" t="s">
        <v>2674</v>
      </c>
      <c r="E2927" s="83" t="s">
        <v>2675</v>
      </c>
      <c r="F2927" s="81" t="s">
        <v>219</v>
      </c>
      <c r="G2927" s="82">
        <v>1</v>
      </c>
      <c r="H2927" s="85"/>
      <c r="I2927" s="86">
        <v>10195.219999999999</v>
      </c>
      <c r="J2927" s="185">
        <f t="shared" si="284"/>
        <v>11608.28</v>
      </c>
      <c r="K2927" s="189">
        <f t="shared" si="285"/>
        <v>11608.28</v>
      </c>
      <c r="L2927" s="189"/>
      <c r="M2927" s="138"/>
      <c r="N2927" s="138"/>
      <c r="O2927" s="138"/>
      <c r="S2927" s="72"/>
      <c r="T2927" s="72"/>
      <c r="U2927" s="72"/>
      <c r="V2927" s="72"/>
    </row>
    <row r="2928" spans="1:22" s="63" customFormat="1" ht="15" x14ac:dyDescent="0.25">
      <c r="A2928" s="87">
        <v>24.96</v>
      </c>
      <c r="B2928" s="81" t="s">
        <v>88</v>
      </c>
      <c r="C2928" s="82">
        <v>40</v>
      </c>
      <c r="D2928" s="131" t="s">
        <v>2033</v>
      </c>
      <c r="E2928" s="83" t="s">
        <v>2034</v>
      </c>
      <c r="F2928" s="81" t="s">
        <v>566</v>
      </c>
      <c r="G2928" s="80">
        <v>0.1</v>
      </c>
      <c r="H2928" s="85"/>
      <c r="I2928" s="86">
        <v>1985.14</v>
      </c>
      <c r="J2928" s="185">
        <f t="shared" si="284"/>
        <v>22602.799999999999</v>
      </c>
      <c r="K2928" s="189">
        <f t="shared" si="285"/>
        <v>2260.2800000000002</v>
      </c>
      <c r="L2928" s="189"/>
      <c r="M2928" s="138"/>
      <c r="N2928" s="138"/>
      <c r="O2928" s="138"/>
      <c r="S2928" s="72"/>
      <c r="T2928" s="72"/>
      <c r="U2928" s="72"/>
      <c r="V2928" s="72"/>
    </row>
    <row r="2929" spans="1:22" s="63" customFormat="1" ht="22.5" x14ac:dyDescent="0.25">
      <c r="A2929" s="87">
        <v>24.97</v>
      </c>
      <c r="B2929" s="81" t="s">
        <v>88</v>
      </c>
      <c r="C2929" s="80">
        <v>40.1</v>
      </c>
      <c r="D2929" s="131" t="s">
        <v>2676</v>
      </c>
      <c r="E2929" s="83" t="s">
        <v>2677</v>
      </c>
      <c r="F2929" s="81" t="s">
        <v>219</v>
      </c>
      <c r="G2929" s="82">
        <v>1</v>
      </c>
      <c r="H2929" s="85"/>
      <c r="I2929" s="86">
        <v>16487.849999999999</v>
      </c>
      <c r="J2929" s="185">
        <f t="shared" si="284"/>
        <v>18773.07</v>
      </c>
      <c r="K2929" s="189">
        <f t="shared" si="285"/>
        <v>18773.07</v>
      </c>
      <c r="L2929" s="189"/>
      <c r="M2929" s="138"/>
      <c r="N2929" s="138"/>
      <c r="O2929" s="138"/>
      <c r="S2929" s="72"/>
      <c r="T2929" s="72"/>
      <c r="U2929" s="72"/>
      <c r="V2929" s="72"/>
    </row>
    <row r="2930" spans="1:22" s="63" customFormat="1" ht="15" x14ac:dyDescent="0.25">
      <c r="A2930" s="87">
        <v>24.98</v>
      </c>
      <c r="B2930" s="81" t="s">
        <v>88</v>
      </c>
      <c r="C2930" s="82">
        <v>41</v>
      </c>
      <c r="D2930" s="131" t="s">
        <v>2678</v>
      </c>
      <c r="E2930" s="83" t="s">
        <v>2679</v>
      </c>
      <c r="F2930" s="81" t="s">
        <v>219</v>
      </c>
      <c r="G2930" s="82">
        <v>3</v>
      </c>
      <c r="H2930" s="85"/>
      <c r="I2930" s="86">
        <v>2787.4</v>
      </c>
      <c r="J2930" s="185">
        <f t="shared" si="284"/>
        <v>1057.9100000000001</v>
      </c>
      <c r="K2930" s="189">
        <f t="shared" si="285"/>
        <v>3173.73</v>
      </c>
      <c r="L2930" s="189"/>
      <c r="M2930" s="138"/>
      <c r="N2930" s="138"/>
      <c r="O2930" s="138"/>
      <c r="S2930" s="72"/>
      <c r="T2930" s="72"/>
      <c r="U2930" s="72"/>
      <c r="V2930" s="72"/>
    </row>
    <row r="2931" spans="1:22" s="63" customFormat="1" ht="22.5" x14ac:dyDescent="0.25">
      <c r="A2931" s="87">
        <v>24.99</v>
      </c>
      <c r="B2931" s="81" t="s">
        <v>88</v>
      </c>
      <c r="C2931" s="80">
        <v>41.1</v>
      </c>
      <c r="D2931" s="131" t="s">
        <v>2680</v>
      </c>
      <c r="E2931" s="83" t="s">
        <v>2681</v>
      </c>
      <c r="F2931" s="81" t="s">
        <v>219</v>
      </c>
      <c r="G2931" s="82">
        <v>3</v>
      </c>
      <c r="H2931" s="85"/>
      <c r="I2931" s="86">
        <v>400.13</v>
      </c>
      <c r="J2931" s="185">
        <f t="shared" si="284"/>
        <v>151.86000000000001</v>
      </c>
      <c r="K2931" s="189">
        <f t="shared" si="285"/>
        <v>455.58</v>
      </c>
      <c r="L2931" s="189"/>
      <c r="M2931" s="138"/>
      <c r="N2931" s="138"/>
      <c r="O2931" s="138"/>
      <c r="S2931" s="72"/>
      <c r="T2931" s="72"/>
      <c r="U2931" s="72"/>
      <c r="V2931" s="72"/>
    </row>
    <row r="2932" spans="1:22" s="63" customFormat="1" ht="15" x14ac:dyDescent="0.25">
      <c r="A2932" s="84">
        <v>24.1</v>
      </c>
      <c r="B2932" s="81" t="s">
        <v>88</v>
      </c>
      <c r="C2932" s="82">
        <v>42</v>
      </c>
      <c r="D2932" s="131" t="s">
        <v>721</v>
      </c>
      <c r="E2932" s="83" t="s">
        <v>722</v>
      </c>
      <c r="F2932" s="81" t="s">
        <v>491</v>
      </c>
      <c r="G2932" s="82">
        <v>1</v>
      </c>
      <c r="H2932" s="85"/>
      <c r="I2932" s="86">
        <v>273.41000000000003</v>
      </c>
      <c r="J2932" s="185">
        <f t="shared" si="284"/>
        <v>311.3</v>
      </c>
      <c r="K2932" s="189">
        <f t="shared" si="285"/>
        <v>311.3</v>
      </c>
      <c r="L2932" s="189"/>
      <c r="M2932" s="138"/>
      <c r="N2932" s="138"/>
      <c r="O2932" s="138"/>
      <c r="S2932" s="72"/>
      <c r="T2932" s="72"/>
      <c r="U2932" s="72"/>
      <c r="V2932" s="72"/>
    </row>
    <row r="2933" spans="1:22" s="63" customFormat="1" ht="22.5" x14ac:dyDescent="0.25">
      <c r="A2933" s="84">
        <v>24.100999999999999</v>
      </c>
      <c r="B2933" s="81" t="s">
        <v>88</v>
      </c>
      <c r="C2933" s="80">
        <v>42.1</v>
      </c>
      <c r="D2933" s="131" t="s">
        <v>723</v>
      </c>
      <c r="E2933" s="83" t="s">
        <v>724</v>
      </c>
      <c r="F2933" s="81" t="s">
        <v>491</v>
      </c>
      <c r="G2933" s="82">
        <v>1</v>
      </c>
      <c r="H2933" s="85"/>
      <c r="I2933" s="86">
        <v>752.67</v>
      </c>
      <c r="J2933" s="185">
        <f t="shared" si="284"/>
        <v>856.99</v>
      </c>
      <c r="K2933" s="189">
        <f t="shared" si="285"/>
        <v>856.99</v>
      </c>
      <c r="L2933" s="189"/>
      <c r="M2933" s="138"/>
      <c r="N2933" s="138"/>
      <c r="O2933" s="138"/>
      <c r="S2933" s="72"/>
      <c r="T2933" s="72"/>
      <c r="U2933" s="72"/>
      <c r="V2933" s="72"/>
    </row>
    <row r="2934" spans="1:22" s="63" customFormat="1" ht="15" x14ac:dyDescent="0.25">
      <c r="A2934" s="84">
        <v>24.102</v>
      </c>
      <c r="B2934" s="81" t="s">
        <v>88</v>
      </c>
      <c r="C2934" s="82">
        <v>43</v>
      </c>
      <c r="D2934" s="131" t="s">
        <v>2682</v>
      </c>
      <c r="E2934" s="83" t="s">
        <v>2683</v>
      </c>
      <c r="F2934" s="81" t="s">
        <v>2350</v>
      </c>
      <c r="G2934" s="84">
        <v>5.3999999999999999E-2</v>
      </c>
      <c r="H2934" s="85"/>
      <c r="I2934" s="86">
        <v>3195.1</v>
      </c>
      <c r="J2934" s="185">
        <f t="shared" si="284"/>
        <v>67369.279999999999</v>
      </c>
      <c r="K2934" s="189">
        <f t="shared" si="285"/>
        <v>3637.94</v>
      </c>
      <c r="L2934" s="189"/>
      <c r="M2934" s="138"/>
      <c r="N2934" s="138"/>
      <c r="O2934" s="138"/>
      <c r="S2934" s="72"/>
      <c r="T2934" s="72"/>
      <c r="U2934" s="72"/>
      <c r="V2934" s="72"/>
    </row>
    <row r="2935" spans="1:22" s="63" customFormat="1" ht="15" x14ac:dyDescent="0.25">
      <c r="A2935" s="84"/>
      <c r="B2935" s="81"/>
      <c r="C2935" s="82"/>
      <c r="D2935" s="131"/>
      <c r="E2935" s="126" t="s">
        <v>3388</v>
      </c>
      <c r="F2935" s="81"/>
      <c r="G2935" s="84"/>
      <c r="H2935" s="85"/>
      <c r="I2935" s="86"/>
      <c r="J2935" s="185"/>
      <c r="K2935" s="189"/>
      <c r="L2935" s="189"/>
      <c r="M2935" s="138"/>
      <c r="N2935" s="138"/>
      <c r="O2935" s="138"/>
      <c r="S2935" s="72"/>
      <c r="T2935" s="72"/>
      <c r="U2935" s="72"/>
      <c r="V2935" s="72"/>
    </row>
    <row r="2936" spans="1:22" s="63" customFormat="1" ht="22.5" x14ac:dyDescent="0.25">
      <c r="A2936" s="84">
        <v>24.103000000000002</v>
      </c>
      <c r="B2936" s="81" t="s">
        <v>88</v>
      </c>
      <c r="C2936" s="82">
        <v>44</v>
      </c>
      <c r="D2936" s="131" t="s">
        <v>2638</v>
      </c>
      <c r="E2936" s="83" t="s">
        <v>2639</v>
      </c>
      <c r="F2936" s="81" t="s">
        <v>193</v>
      </c>
      <c r="G2936" s="90">
        <v>0.25394600000000001</v>
      </c>
      <c r="H2936" s="85"/>
      <c r="I2936" s="86">
        <v>24220.15</v>
      </c>
      <c r="J2936" s="185">
        <f t="shared" ref="J2936:J2954" si="286">ROUND($I2936/$G2936*$N$11,2)</f>
        <v>108594.2</v>
      </c>
      <c r="K2936" s="189">
        <f t="shared" ref="K2936:K2960" si="287">ROUND(G2936*J2936,2)</f>
        <v>27577.06</v>
      </c>
      <c r="L2936" s="189"/>
      <c r="M2936" s="138"/>
      <c r="N2936" s="138"/>
      <c r="O2936" s="138"/>
      <c r="S2936" s="72"/>
      <c r="T2936" s="72"/>
      <c r="U2936" s="72"/>
      <c r="V2936" s="72"/>
    </row>
    <row r="2937" spans="1:22" s="63" customFormat="1" ht="22.5" x14ac:dyDescent="0.25">
      <c r="A2937" s="84">
        <v>24.103999999999999</v>
      </c>
      <c r="B2937" s="81" t="s">
        <v>88</v>
      </c>
      <c r="C2937" s="82">
        <v>45</v>
      </c>
      <c r="D2937" s="131" t="s">
        <v>2553</v>
      </c>
      <c r="E2937" s="83" t="s">
        <v>2554</v>
      </c>
      <c r="F2937" s="81" t="s">
        <v>196</v>
      </c>
      <c r="G2937" s="89">
        <v>7.8539999999999999E-2</v>
      </c>
      <c r="H2937" s="85"/>
      <c r="I2937" s="86">
        <v>14499.94</v>
      </c>
      <c r="J2937" s="185">
        <f t="shared" si="286"/>
        <v>210206.67</v>
      </c>
      <c r="K2937" s="189">
        <f t="shared" si="287"/>
        <v>16509.63</v>
      </c>
      <c r="L2937" s="189"/>
      <c r="M2937" s="138"/>
      <c r="N2937" s="138"/>
      <c r="O2937" s="138"/>
      <c r="S2937" s="72"/>
      <c r="T2937" s="72"/>
      <c r="U2937" s="72"/>
      <c r="V2937" s="72"/>
    </row>
    <row r="2938" spans="1:22" s="63" customFormat="1" ht="15" x14ac:dyDescent="0.25">
      <c r="A2938" s="84">
        <v>24.105</v>
      </c>
      <c r="B2938" s="81" t="s">
        <v>88</v>
      </c>
      <c r="C2938" s="82">
        <v>46</v>
      </c>
      <c r="D2938" s="131" t="s">
        <v>2340</v>
      </c>
      <c r="E2938" s="83" t="s">
        <v>2555</v>
      </c>
      <c r="F2938" s="81" t="s">
        <v>319</v>
      </c>
      <c r="G2938" s="87">
        <v>0.42</v>
      </c>
      <c r="H2938" s="85"/>
      <c r="I2938" s="86">
        <v>4549.68</v>
      </c>
      <c r="J2938" s="185">
        <f t="shared" si="286"/>
        <v>12333.97</v>
      </c>
      <c r="K2938" s="189">
        <f t="shared" si="287"/>
        <v>5180.2700000000004</v>
      </c>
      <c r="L2938" s="189"/>
      <c r="M2938" s="138"/>
      <c r="N2938" s="138"/>
      <c r="O2938" s="138"/>
      <c r="S2938" s="72"/>
      <c r="T2938" s="72"/>
      <c r="U2938" s="72"/>
      <c r="V2938" s="72"/>
    </row>
    <row r="2939" spans="1:22" s="63" customFormat="1" ht="33.75" x14ac:dyDescent="0.25">
      <c r="A2939" s="84">
        <v>24.106000000000002</v>
      </c>
      <c r="B2939" s="81" t="s">
        <v>88</v>
      </c>
      <c r="C2939" s="82">
        <v>47</v>
      </c>
      <c r="D2939" s="131" t="s">
        <v>2655</v>
      </c>
      <c r="E2939" s="83" t="s">
        <v>2656</v>
      </c>
      <c r="F2939" s="81" t="s">
        <v>193</v>
      </c>
      <c r="G2939" s="89">
        <v>2.4289999999999999E-2</v>
      </c>
      <c r="H2939" s="85"/>
      <c r="I2939" s="86">
        <v>162.07</v>
      </c>
      <c r="J2939" s="185">
        <f t="shared" si="286"/>
        <v>7597.07</v>
      </c>
      <c r="K2939" s="189">
        <f t="shared" si="287"/>
        <v>184.53</v>
      </c>
      <c r="L2939" s="189"/>
      <c r="M2939" s="138"/>
      <c r="N2939" s="138"/>
      <c r="O2939" s="138"/>
      <c r="S2939" s="72"/>
      <c r="T2939" s="72"/>
      <c r="U2939" s="72"/>
      <c r="V2939" s="72"/>
    </row>
    <row r="2940" spans="1:22" s="63" customFormat="1" ht="22.5" x14ac:dyDescent="0.25">
      <c r="A2940" s="84">
        <v>24.106999999999999</v>
      </c>
      <c r="B2940" s="81" t="s">
        <v>88</v>
      </c>
      <c r="C2940" s="80">
        <v>47.1</v>
      </c>
      <c r="D2940" s="131" t="s">
        <v>2426</v>
      </c>
      <c r="E2940" s="83" t="s">
        <v>2427</v>
      </c>
      <c r="F2940" s="81" t="s">
        <v>205</v>
      </c>
      <c r="G2940" s="84">
        <v>31.338999999999999</v>
      </c>
      <c r="H2940" s="85"/>
      <c r="I2940" s="86">
        <v>9843.1200000000008</v>
      </c>
      <c r="J2940" s="185">
        <f t="shared" si="286"/>
        <v>357.62</v>
      </c>
      <c r="K2940" s="189">
        <f t="shared" si="287"/>
        <v>11207.45</v>
      </c>
      <c r="L2940" s="189"/>
      <c r="M2940" s="138"/>
      <c r="N2940" s="138"/>
      <c r="O2940" s="138"/>
      <c r="S2940" s="72"/>
      <c r="T2940" s="72"/>
      <c r="U2940" s="72"/>
      <c r="V2940" s="72"/>
    </row>
    <row r="2941" spans="1:22" s="63" customFormat="1" ht="22.5" x14ac:dyDescent="0.25">
      <c r="A2941" s="84">
        <v>24.108000000000001</v>
      </c>
      <c r="B2941" s="81" t="s">
        <v>88</v>
      </c>
      <c r="C2941" s="82">
        <v>48</v>
      </c>
      <c r="D2941" s="131" t="s">
        <v>2627</v>
      </c>
      <c r="E2941" s="83" t="s">
        <v>2628</v>
      </c>
      <c r="F2941" s="81" t="s">
        <v>193</v>
      </c>
      <c r="G2941" s="89">
        <v>0.23330999999999999</v>
      </c>
      <c r="H2941" s="85"/>
      <c r="I2941" s="86">
        <v>1857.44</v>
      </c>
      <c r="J2941" s="185">
        <f t="shared" si="286"/>
        <v>9064.68</v>
      </c>
      <c r="K2941" s="189">
        <f t="shared" si="287"/>
        <v>2114.88</v>
      </c>
      <c r="L2941" s="189"/>
      <c r="M2941" s="138"/>
      <c r="N2941" s="138"/>
      <c r="O2941" s="138"/>
      <c r="S2941" s="72"/>
      <c r="T2941" s="72"/>
      <c r="U2941" s="72"/>
      <c r="V2941" s="72"/>
    </row>
    <row r="2942" spans="1:22" s="63" customFormat="1" ht="15" x14ac:dyDescent="0.25">
      <c r="A2942" s="84">
        <v>24.109000000000002</v>
      </c>
      <c r="B2942" s="81" t="s">
        <v>88</v>
      </c>
      <c r="C2942" s="82">
        <v>49</v>
      </c>
      <c r="D2942" s="131" t="s">
        <v>201</v>
      </c>
      <c r="E2942" s="83" t="s">
        <v>202</v>
      </c>
      <c r="F2942" s="81" t="s">
        <v>196</v>
      </c>
      <c r="G2942" s="88">
        <v>2.3331</v>
      </c>
      <c r="H2942" s="85"/>
      <c r="I2942" s="86">
        <v>38096.82</v>
      </c>
      <c r="J2942" s="185">
        <f t="shared" si="286"/>
        <v>18592.02</v>
      </c>
      <c r="K2942" s="189">
        <f t="shared" si="287"/>
        <v>43377.04</v>
      </c>
      <c r="L2942" s="189"/>
      <c r="M2942" s="138"/>
      <c r="N2942" s="138"/>
      <c r="O2942" s="138"/>
      <c r="S2942" s="72"/>
      <c r="T2942" s="72"/>
      <c r="U2942" s="72"/>
      <c r="V2942" s="72"/>
    </row>
    <row r="2943" spans="1:22" s="63" customFormat="1" ht="15" x14ac:dyDescent="0.25">
      <c r="A2943" s="84">
        <v>24.11</v>
      </c>
      <c r="B2943" s="81" t="s">
        <v>88</v>
      </c>
      <c r="C2943" s="82">
        <v>50</v>
      </c>
      <c r="D2943" s="131" t="s">
        <v>2684</v>
      </c>
      <c r="E2943" s="83" t="s">
        <v>2685</v>
      </c>
      <c r="F2943" s="81" t="s">
        <v>2350</v>
      </c>
      <c r="G2943" s="87">
        <v>7.0000000000000007E-2</v>
      </c>
      <c r="H2943" s="85"/>
      <c r="I2943" s="86">
        <v>20682.93</v>
      </c>
      <c r="J2943" s="185">
        <f t="shared" si="286"/>
        <v>336422.63</v>
      </c>
      <c r="K2943" s="189">
        <f t="shared" si="287"/>
        <v>23549.58</v>
      </c>
      <c r="L2943" s="189"/>
      <c r="M2943" s="138"/>
      <c r="N2943" s="138"/>
      <c r="O2943" s="138"/>
      <c r="S2943" s="72"/>
      <c r="T2943" s="72"/>
      <c r="U2943" s="72"/>
      <c r="V2943" s="72"/>
    </row>
    <row r="2944" spans="1:22" s="63" customFormat="1" ht="22.5" x14ac:dyDescent="0.25">
      <c r="A2944" s="84">
        <v>24.111000000000001</v>
      </c>
      <c r="B2944" s="81" t="s">
        <v>88</v>
      </c>
      <c r="C2944" s="80">
        <v>50.1</v>
      </c>
      <c r="D2944" s="131" t="s">
        <v>2686</v>
      </c>
      <c r="E2944" s="83" t="s">
        <v>2687</v>
      </c>
      <c r="F2944" s="81" t="s">
        <v>334</v>
      </c>
      <c r="G2944" s="87">
        <v>70.489999999999995</v>
      </c>
      <c r="H2944" s="85"/>
      <c r="I2944" s="86">
        <v>31460.33</v>
      </c>
      <c r="J2944" s="185">
        <f t="shared" si="286"/>
        <v>508.17</v>
      </c>
      <c r="K2944" s="189">
        <f t="shared" si="287"/>
        <v>35820.9</v>
      </c>
      <c r="L2944" s="189"/>
      <c r="M2944" s="138"/>
      <c r="N2944" s="138"/>
      <c r="O2944" s="138"/>
      <c r="S2944" s="72"/>
      <c r="T2944" s="72"/>
      <c r="U2944" s="72"/>
      <c r="V2944" s="72"/>
    </row>
    <row r="2945" spans="1:22" s="63" customFormat="1" ht="22.5" x14ac:dyDescent="0.25">
      <c r="A2945" s="84">
        <v>24.111999999999998</v>
      </c>
      <c r="B2945" s="81" t="s">
        <v>88</v>
      </c>
      <c r="C2945" s="80">
        <v>50.2</v>
      </c>
      <c r="D2945" s="131" t="s">
        <v>2688</v>
      </c>
      <c r="E2945" s="83" t="s">
        <v>4038</v>
      </c>
      <c r="F2945" s="81" t="s">
        <v>219</v>
      </c>
      <c r="G2945" s="82">
        <v>12</v>
      </c>
      <c r="H2945" s="85"/>
      <c r="I2945" s="86">
        <v>4066.77</v>
      </c>
      <c r="J2945" s="185">
        <f t="shared" si="286"/>
        <v>385.87</v>
      </c>
      <c r="K2945" s="189">
        <f t="shared" si="287"/>
        <v>4630.4399999999996</v>
      </c>
      <c r="L2945" s="189"/>
      <c r="M2945" s="138"/>
      <c r="N2945" s="138"/>
      <c r="O2945" s="138"/>
      <c r="S2945" s="72"/>
      <c r="T2945" s="72"/>
      <c r="U2945" s="72"/>
      <c r="V2945" s="72"/>
    </row>
    <row r="2946" spans="1:22" s="63" customFormat="1" ht="22.5" x14ac:dyDescent="0.25">
      <c r="A2946" s="84">
        <v>24.113</v>
      </c>
      <c r="B2946" s="81" t="s">
        <v>88</v>
      </c>
      <c r="C2946" s="82">
        <v>51</v>
      </c>
      <c r="D2946" s="131" t="s">
        <v>671</v>
      </c>
      <c r="E2946" s="83" t="s">
        <v>672</v>
      </c>
      <c r="F2946" s="81" t="s">
        <v>566</v>
      </c>
      <c r="G2946" s="82">
        <v>1</v>
      </c>
      <c r="H2946" s="85"/>
      <c r="I2946" s="86">
        <v>11804.39</v>
      </c>
      <c r="J2946" s="185">
        <f t="shared" si="286"/>
        <v>13440.48</v>
      </c>
      <c r="K2946" s="189">
        <f t="shared" si="287"/>
        <v>13440.48</v>
      </c>
      <c r="L2946" s="189"/>
      <c r="M2946" s="138"/>
      <c r="N2946" s="138"/>
      <c r="O2946" s="138"/>
      <c r="S2946" s="72"/>
      <c r="T2946" s="72"/>
      <c r="U2946" s="72"/>
      <c r="V2946" s="72"/>
    </row>
    <row r="2947" spans="1:22" s="63" customFormat="1" ht="22.5" x14ac:dyDescent="0.25">
      <c r="A2947" s="84">
        <v>24.114000000000001</v>
      </c>
      <c r="B2947" s="81" t="s">
        <v>88</v>
      </c>
      <c r="C2947" s="80">
        <v>51.1</v>
      </c>
      <c r="D2947" s="131" t="s">
        <v>2689</v>
      </c>
      <c r="E2947" s="83" t="s">
        <v>2690</v>
      </c>
      <c r="F2947" s="81" t="s">
        <v>219</v>
      </c>
      <c r="G2947" s="82">
        <v>7</v>
      </c>
      <c r="H2947" s="85"/>
      <c r="I2947" s="86">
        <v>2260.14</v>
      </c>
      <c r="J2947" s="185">
        <f t="shared" si="286"/>
        <v>367.63</v>
      </c>
      <c r="K2947" s="189">
        <f t="shared" si="287"/>
        <v>2573.41</v>
      </c>
      <c r="L2947" s="189"/>
      <c r="M2947" s="138"/>
      <c r="N2947" s="138"/>
      <c r="O2947" s="138"/>
      <c r="S2947" s="72"/>
      <c r="T2947" s="72"/>
      <c r="U2947" s="72"/>
      <c r="V2947" s="72"/>
    </row>
    <row r="2948" spans="1:22" s="63" customFormat="1" ht="33.75" x14ac:dyDescent="0.25">
      <c r="A2948" s="84">
        <v>24.114999999999998</v>
      </c>
      <c r="B2948" s="81" t="s">
        <v>88</v>
      </c>
      <c r="C2948" s="80">
        <v>51.2</v>
      </c>
      <c r="D2948" s="131" t="s">
        <v>2691</v>
      </c>
      <c r="E2948" s="83" t="s">
        <v>4039</v>
      </c>
      <c r="F2948" s="81" t="s">
        <v>219</v>
      </c>
      <c r="G2948" s="82">
        <v>6</v>
      </c>
      <c r="H2948" s="85"/>
      <c r="I2948" s="86">
        <v>1467.86</v>
      </c>
      <c r="J2948" s="185">
        <f t="shared" si="286"/>
        <v>278.55</v>
      </c>
      <c r="K2948" s="189">
        <f t="shared" si="287"/>
        <v>1671.3</v>
      </c>
      <c r="L2948" s="189"/>
      <c r="M2948" s="138"/>
      <c r="N2948" s="138"/>
      <c r="O2948" s="138"/>
      <c r="S2948" s="72"/>
      <c r="T2948" s="72"/>
      <c r="U2948" s="72"/>
      <c r="V2948" s="72"/>
    </row>
    <row r="2949" spans="1:22" s="63" customFormat="1" ht="22.5" x14ac:dyDescent="0.25">
      <c r="A2949" s="84">
        <v>24.116</v>
      </c>
      <c r="B2949" s="81" t="s">
        <v>88</v>
      </c>
      <c r="C2949" s="80">
        <v>51.3</v>
      </c>
      <c r="D2949" s="131" t="s">
        <v>2692</v>
      </c>
      <c r="E2949" s="83" t="s">
        <v>4040</v>
      </c>
      <c r="F2949" s="81" t="s">
        <v>219</v>
      </c>
      <c r="G2949" s="82">
        <v>1</v>
      </c>
      <c r="H2949" s="85"/>
      <c r="I2949" s="86">
        <v>918.99</v>
      </c>
      <c r="J2949" s="185">
        <f t="shared" si="286"/>
        <v>1046.3599999999999</v>
      </c>
      <c r="K2949" s="189">
        <f t="shared" si="287"/>
        <v>1046.3599999999999</v>
      </c>
      <c r="L2949" s="189"/>
      <c r="M2949" s="138"/>
      <c r="N2949" s="138"/>
      <c r="O2949" s="138"/>
      <c r="S2949" s="72"/>
      <c r="T2949" s="72"/>
      <c r="U2949" s="72"/>
      <c r="V2949" s="72"/>
    </row>
    <row r="2950" spans="1:22" s="63" customFormat="1" ht="22.5" x14ac:dyDescent="0.25">
      <c r="A2950" s="84">
        <v>24.117000000000001</v>
      </c>
      <c r="B2950" s="81" t="s">
        <v>88</v>
      </c>
      <c r="C2950" s="80">
        <v>51.4</v>
      </c>
      <c r="D2950" s="131" t="s">
        <v>2693</v>
      </c>
      <c r="E2950" s="83" t="s">
        <v>2694</v>
      </c>
      <c r="F2950" s="81" t="s">
        <v>566</v>
      </c>
      <c r="G2950" s="80">
        <v>0.2</v>
      </c>
      <c r="H2950" s="85"/>
      <c r="I2950" s="86">
        <v>717.68</v>
      </c>
      <c r="J2950" s="185">
        <f t="shared" si="286"/>
        <v>4085.75</v>
      </c>
      <c r="K2950" s="189">
        <f t="shared" si="287"/>
        <v>817.15</v>
      </c>
      <c r="L2950" s="189"/>
      <c r="M2950" s="138"/>
      <c r="N2950" s="138"/>
      <c r="O2950" s="138"/>
      <c r="S2950" s="72"/>
      <c r="T2950" s="72"/>
      <c r="U2950" s="72"/>
      <c r="V2950" s="72"/>
    </row>
    <row r="2951" spans="1:22" s="63" customFormat="1" ht="22.5" x14ac:dyDescent="0.25">
      <c r="A2951" s="84">
        <v>24.117999999999999</v>
      </c>
      <c r="B2951" s="81" t="s">
        <v>88</v>
      </c>
      <c r="C2951" s="80">
        <v>51.5</v>
      </c>
      <c r="D2951" s="131" t="s">
        <v>2695</v>
      </c>
      <c r="E2951" s="83" t="s">
        <v>2696</v>
      </c>
      <c r="F2951" s="81" t="s">
        <v>216</v>
      </c>
      <c r="G2951" s="87">
        <v>0.02</v>
      </c>
      <c r="H2951" s="85"/>
      <c r="I2951" s="86">
        <v>155.93</v>
      </c>
      <c r="J2951" s="185">
        <f t="shared" si="286"/>
        <v>8877.09</v>
      </c>
      <c r="K2951" s="189">
        <f t="shared" si="287"/>
        <v>177.54</v>
      </c>
      <c r="L2951" s="189"/>
      <c r="M2951" s="138"/>
      <c r="N2951" s="138"/>
      <c r="O2951" s="138"/>
      <c r="S2951" s="72"/>
      <c r="T2951" s="72"/>
      <c r="U2951" s="72"/>
      <c r="V2951" s="72"/>
    </row>
    <row r="2952" spans="1:22" s="63" customFormat="1" ht="15" x14ac:dyDescent="0.25">
      <c r="A2952" s="84">
        <v>24.119</v>
      </c>
      <c r="B2952" s="81" t="s">
        <v>88</v>
      </c>
      <c r="C2952" s="82">
        <v>52</v>
      </c>
      <c r="D2952" s="131" t="s">
        <v>2667</v>
      </c>
      <c r="E2952" s="83" t="s">
        <v>2668</v>
      </c>
      <c r="F2952" s="81" t="s">
        <v>566</v>
      </c>
      <c r="G2952" s="80">
        <v>0.1</v>
      </c>
      <c r="H2952" s="85"/>
      <c r="I2952" s="86">
        <v>1740.74</v>
      </c>
      <c r="J2952" s="185">
        <f t="shared" si="286"/>
        <v>19820.07</v>
      </c>
      <c r="K2952" s="189">
        <f t="shared" si="287"/>
        <v>1982.01</v>
      </c>
      <c r="L2952" s="189"/>
      <c r="M2952" s="138"/>
      <c r="N2952" s="138"/>
      <c r="O2952" s="138"/>
      <c r="S2952" s="72"/>
      <c r="T2952" s="72"/>
      <c r="U2952" s="72"/>
      <c r="V2952" s="72"/>
    </row>
    <row r="2953" spans="1:22" s="63" customFormat="1" ht="22.5" x14ac:dyDescent="0.25">
      <c r="A2953" s="84">
        <v>24.12</v>
      </c>
      <c r="B2953" s="81" t="s">
        <v>88</v>
      </c>
      <c r="C2953" s="80">
        <v>52.1</v>
      </c>
      <c r="D2953" s="131" t="s">
        <v>2697</v>
      </c>
      <c r="E2953" s="83" t="s">
        <v>4041</v>
      </c>
      <c r="F2953" s="81" t="s">
        <v>219</v>
      </c>
      <c r="G2953" s="82">
        <v>1</v>
      </c>
      <c r="H2953" s="85"/>
      <c r="I2953" s="86">
        <v>297.83999999999997</v>
      </c>
      <c r="J2953" s="185">
        <f t="shared" si="286"/>
        <v>339.12</v>
      </c>
      <c r="K2953" s="189">
        <f t="shared" si="287"/>
        <v>339.12</v>
      </c>
      <c r="L2953" s="189"/>
      <c r="M2953" s="138"/>
      <c r="N2953" s="138"/>
      <c r="O2953" s="138"/>
      <c r="S2953" s="72"/>
      <c r="T2953" s="72"/>
      <c r="U2953" s="72"/>
      <c r="V2953" s="72"/>
    </row>
    <row r="2954" spans="1:22" s="63" customFormat="1" ht="22.5" x14ac:dyDescent="0.25">
      <c r="A2954" s="84">
        <v>24.120999999999999</v>
      </c>
      <c r="B2954" s="81" t="s">
        <v>88</v>
      </c>
      <c r="C2954" s="82">
        <v>53</v>
      </c>
      <c r="D2954" s="131" t="s">
        <v>2698</v>
      </c>
      <c r="E2954" s="83" t="s">
        <v>2699</v>
      </c>
      <c r="F2954" s="81" t="s">
        <v>219</v>
      </c>
      <c r="G2954" s="82">
        <v>1</v>
      </c>
      <c r="H2954" s="85"/>
      <c r="I2954" s="86">
        <v>2955.23</v>
      </c>
      <c r="J2954" s="185">
        <f t="shared" si="286"/>
        <v>3364.82</v>
      </c>
      <c r="K2954" s="189">
        <f t="shared" si="287"/>
        <v>3364.82</v>
      </c>
      <c r="L2954" s="189"/>
      <c r="M2954" s="138"/>
      <c r="N2954" s="138"/>
      <c r="O2954" s="138"/>
      <c r="S2954" s="72"/>
      <c r="T2954" s="72"/>
      <c r="U2954" s="72"/>
      <c r="V2954" s="72"/>
    </row>
    <row r="2955" spans="1:22" s="63" customFormat="1" ht="45" x14ac:dyDescent="0.25">
      <c r="A2955" s="108">
        <v>24.122</v>
      </c>
      <c r="B2955" s="102" t="s">
        <v>88</v>
      </c>
      <c r="C2955" s="103">
        <v>53.1</v>
      </c>
      <c r="D2955" s="167" t="s">
        <v>2700</v>
      </c>
      <c r="E2955" s="104" t="s">
        <v>4042</v>
      </c>
      <c r="F2955" s="102" t="s">
        <v>2239</v>
      </c>
      <c r="G2955" s="105">
        <v>1</v>
      </c>
      <c r="H2955" s="106"/>
      <c r="I2955" s="107">
        <v>21848.880000000001</v>
      </c>
      <c r="J2955" s="192">
        <f>ROUND($I2955/$G2955*$N$12,2)</f>
        <v>24437.97</v>
      </c>
      <c r="K2955" s="193">
        <f t="shared" si="287"/>
        <v>24437.97</v>
      </c>
      <c r="L2955" s="193"/>
      <c r="M2955" s="138"/>
      <c r="N2955" s="138"/>
      <c r="O2955" s="138"/>
      <c r="S2955" s="72"/>
      <c r="T2955" s="72"/>
      <c r="U2955" s="72"/>
      <c r="V2955" s="72"/>
    </row>
    <row r="2956" spans="1:22" s="63" customFormat="1" ht="15" x14ac:dyDescent="0.25">
      <c r="A2956" s="84">
        <v>24.123000000000001</v>
      </c>
      <c r="B2956" s="81" t="s">
        <v>88</v>
      </c>
      <c r="C2956" s="82">
        <v>54</v>
      </c>
      <c r="D2956" s="131" t="s">
        <v>741</v>
      </c>
      <c r="E2956" s="83" t="s">
        <v>742</v>
      </c>
      <c r="F2956" s="81" t="s">
        <v>219</v>
      </c>
      <c r="G2956" s="82">
        <v>3</v>
      </c>
      <c r="H2956" s="85"/>
      <c r="I2956" s="86">
        <v>3705.9</v>
      </c>
      <c r="J2956" s="185">
        <f>ROUND($I2956/$G2956*$N$11,2)</f>
        <v>1406.51</v>
      </c>
      <c r="K2956" s="189">
        <f t="shared" si="287"/>
        <v>4219.53</v>
      </c>
      <c r="L2956" s="189"/>
      <c r="M2956" s="138"/>
      <c r="N2956" s="138"/>
      <c r="O2956" s="138"/>
      <c r="S2956" s="72"/>
      <c r="T2956" s="72"/>
      <c r="U2956" s="72"/>
      <c r="V2956" s="72"/>
    </row>
    <row r="2957" spans="1:22" s="63" customFormat="1" ht="22.5" x14ac:dyDescent="0.25">
      <c r="A2957" s="84">
        <v>24.123999999999999</v>
      </c>
      <c r="B2957" s="81" t="s">
        <v>88</v>
      </c>
      <c r="C2957" s="80">
        <v>54.1</v>
      </c>
      <c r="D2957" s="131" t="s">
        <v>806</v>
      </c>
      <c r="E2957" s="83" t="s">
        <v>807</v>
      </c>
      <c r="F2957" s="81" t="s">
        <v>219</v>
      </c>
      <c r="G2957" s="82">
        <v>3</v>
      </c>
      <c r="H2957" s="85"/>
      <c r="I2957" s="86">
        <v>6474.32</v>
      </c>
      <c r="J2957" s="185">
        <f>ROUND($I2957/$G2957*$N$11,2)</f>
        <v>2457.2199999999998</v>
      </c>
      <c r="K2957" s="189">
        <f t="shared" si="287"/>
        <v>7371.66</v>
      </c>
      <c r="L2957" s="189"/>
      <c r="M2957" s="138"/>
      <c r="N2957" s="138"/>
      <c r="O2957" s="138"/>
      <c r="S2957" s="72"/>
      <c r="T2957" s="72"/>
      <c r="U2957" s="72"/>
      <c r="V2957" s="72"/>
    </row>
    <row r="2958" spans="1:22" s="63" customFormat="1" ht="15" x14ac:dyDescent="0.25">
      <c r="A2958" s="84">
        <v>24.125</v>
      </c>
      <c r="B2958" s="81" t="s">
        <v>88</v>
      </c>
      <c r="C2958" s="82">
        <v>55</v>
      </c>
      <c r="D2958" s="131" t="s">
        <v>2482</v>
      </c>
      <c r="E2958" s="83" t="s">
        <v>2483</v>
      </c>
      <c r="F2958" s="81" t="s">
        <v>219</v>
      </c>
      <c r="G2958" s="82">
        <v>3</v>
      </c>
      <c r="H2958" s="85"/>
      <c r="I2958" s="86">
        <v>3755.72</v>
      </c>
      <c r="J2958" s="185">
        <f>ROUND($I2958/$G2958*$N$11,2)</f>
        <v>1425.42</v>
      </c>
      <c r="K2958" s="189">
        <f t="shared" si="287"/>
        <v>4276.26</v>
      </c>
      <c r="L2958" s="189"/>
      <c r="M2958" s="138"/>
      <c r="N2958" s="138"/>
      <c r="O2958" s="138"/>
      <c r="S2958" s="72"/>
      <c r="T2958" s="72"/>
      <c r="U2958" s="72"/>
      <c r="V2958" s="72"/>
    </row>
    <row r="2959" spans="1:22" s="63" customFormat="1" ht="22.5" x14ac:dyDescent="0.25">
      <c r="A2959" s="84">
        <v>24.126000000000001</v>
      </c>
      <c r="B2959" s="81" t="s">
        <v>88</v>
      </c>
      <c r="C2959" s="80">
        <v>55.1</v>
      </c>
      <c r="D2959" s="131" t="s">
        <v>2701</v>
      </c>
      <c r="E2959" s="83" t="s">
        <v>2702</v>
      </c>
      <c r="F2959" s="81" t="s">
        <v>219</v>
      </c>
      <c r="G2959" s="82">
        <v>3</v>
      </c>
      <c r="H2959" s="85"/>
      <c r="I2959" s="86">
        <v>9711.08</v>
      </c>
      <c r="J2959" s="185">
        <f>ROUND($I2959/$G2959*$N$11,2)</f>
        <v>3685.68</v>
      </c>
      <c r="K2959" s="189">
        <f t="shared" si="287"/>
        <v>11057.04</v>
      </c>
      <c r="L2959" s="189"/>
      <c r="M2959" s="138"/>
      <c r="N2959" s="138"/>
      <c r="O2959" s="138"/>
      <c r="S2959" s="72"/>
      <c r="T2959" s="72"/>
      <c r="U2959" s="72"/>
      <c r="V2959" s="72"/>
    </row>
    <row r="2960" spans="1:22" s="63" customFormat="1" ht="15" x14ac:dyDescent="0.25">
      <c r="A2960" s="84">
        <v>24.126999999999999</v>
      </c>
      <c r="B2960" s="81" t="s">
        <v>88</v>
      </c>
      <c r="C2960" s="82">
        <v>56</v>
      </c>
      <c r="D2960" s="131" t="s">
        <v>2703</v>
      </c>
      <c r="E2960" s="83" t="s">
        <v>2704</v>
      </c>
      <c r="F2960" s="81" t="s">
        <v>2350</v>
      </c>
      <c r="G2960" s="87">
        <v>7.0000000000000007E-2</v>
      </c>
      <c r="H2960" s="85"/>
      <c r="I2960" s="86">
        <v>4117.7299999999996</v>
      </c>
      <c r="J2960" s="185">
        <f>ROUND($I2960/$G2960*$N$11,2)</f>
        <v>66977.820000000007</v>
      </c>
      <c r="K2960" s="189">
        <f t="shared" si="287"/>
        <v>4688.45</v>
      </c>
      <c r="L2960" s="189"/>
      <c r="M2960" s="138"/>
      <c r="N2960" s="138"/>
      <c r="O2960" s="138"/>
      <c r="S2960" s="72"/>
      <c r="T2960" s="72"/>
      <c r="U2960" s="72"/>
      <c r="V2960" s="72"/>
    </row>
    <row r="2961" spans="1:22" s="128" customFormat="1" ht="12.75" x14ac:dyDescent="0.25">
      <c r="A2961" s="242"/>
      <c r="B2961" s="125"/>
      <c r="C2961" s="76"/>
      <c r="D2961" s="77"/>
      <c r="E2961" s="126" t="s">
        <v>3389</v>
      </c>
      <c r="F2961" s="125"/>
      <c r="G2961" s="237"/>
      <c r="H2961" s="127"/>
      <c r="I2961" s="78"/>
      <c r="J2961" s="238"/>
      <c r="K2961" s="239"/>
      <c r="L2961" s="239"/>
      <c r="M2961" s="79"/>
      <c r="N2961" s="79"/>
      <c r="O2961" s="79"/>
      <c r="S2961" s="129"/>
      <c r="T2961" s="129"/>
      <c r="U2961" s="129"/>
      <c r="V2961" s="129"/>
    </row>
    <row r="2962" spans="1:22" s="63" customFormat="1" ht="22.5" x14ac:dyDescent="0.25">
      <c r="A2962" s="84">
        <v>24.128</v>
      </c>
      <c r="B2962" s="81" t="s">
        <v>88</v>
      </c>
      <c r="C2962" s="82">
        <v>57</v>
      </c>
      <c r="D2962" s="131" t="s">
        <v>2638</v>
      </c>
      <c r="E2962" s="83" t="s">
        <v>2639</v>
      </c>
      <c r="F2962" s="81" t="s">
        <v>193</v>
      </c>
      <c r="G2962" s="90">
        <v>8.1089999999999999E-3</v>
      </c>
      <c r="H2962" s="85"/>
      <c r="I2962" s="86">
        <v>772.91</v>
      </c>
      <c r="J2962" s="185">
        <f t="shared" ref="J2962:J2977" si="288">ROUND($I2962/$G2962*$N$11,2)</f>
        <v>108525.75</v>
      </c>
      <c r="K2962" s="189">
        <f t="shared" ref="K2962:K2977" si="289">ROUND(G2962*J2962,2)</f>
        <v>880.04</v>
      </c>
      <c r="L2962" s="189"/>
      <c r="M2962" s="138"/>
      <c r="N2962" s="138"/>
      <c r="O2962" s="138"/>
      <c r="S2962" s="72"/>
      <c r="T2962" s="72"/>
      <c r="U2962" s="72"/>
      <c r="V2962" s="72"/>
    </row>
    <row r="2963" spans="1:22" s="63" customFormat="1" ht="22.5" x14ac:dyDescent="0.25">
      <c r="A2963" s="84">
        <v>24.129000000000001</v>
      </c>
      <c r="B2963" s="81" t="s">
        <v>88</v>
      </c>
      <c r="C2963" s="82">
        <v>58</v>
      </c>
      <c r="D2963" s="131" t="s">
        <v>2553</v>
      </c>
      <c r="E2963" s="83" t="s">
        <v>2554</v>
      </c>
      <c r="F2963" s="81" t="s">
        <v>196</v>
      </c>
      <c r="G2963" s="90">
        <v>2.5079999999999998E-3</v>
      </c>
      <c r="H2963" s="85"/>
      <c r="I2963" s="86">
        <v>463.54</v>
      </c>
      <c r="J2963" s="185">
        <f t="shared" si="288"/>
        <v>210441.25</v>
      </c>
      <c r="K2963" s="189">
        <f t="shared" si="289"/>
        <v>527.79</v>
      </c>
      <c r="L2963" s="189"/>
      <c r="M2963" s="138"/>
      <c r="N2963" s="138"/>
      <c r="O2963" s="138"/>
      <c r="S2963" s="72"/>
      <c r="T2963" s="72"/>
      <c r="U2963" s="72"/>
      <c r="V2963" s="72"/>
    </row>
    <row r="2964" spans="1:22" s="63" customFormat="1" ht="22.5" x14ac:dyDescent="0.25">
      <c r="A2964" s="84">
        <v>24.13</v>
      </c>
      <c r="B2964" s="81" t="s">
        <v>88</v>
      </c>
      <c r="C2964" s="82">
        <v>59</v>
      </c>
      <c r="D2964" s="131" t="s">
        <v>2340</v>
      </c>
      <c r="E2964" s="83" t="s">
        <v>2705</v>
      </c>
      <c r="F2964" s="81" t="s">
        <v>319</v>
      </c>
      <c r="G2964" s="84">
        <v>1.6E-2</v>
      </c>
      <c r="H2964" s="85"/>
      <c r="I2964" s="86">
        <v>173.32</v>
      </c>
      <c r="J2964" s="185">
        <f t="shared" si="288"/>
        <v>12333.88</v>
      </c>
      <c r="K2964" s="189">
        <f t="shared" si="289"/>
        <v>197.34</v>
      </c>
      <c r="L2964" s="189"/>
      <c r="M2964" s="138"/>
      <c r="N2964" s="138"/>
      <c r="O2964" s="138"/>
      <c r="S2964" s="72"/>
      <c r="T2964" s="72"/>
      <c r="U2964" s="72"/>
      <c r="V2964" s="72"/>
    </row>
    <row r="2965" spans="1:22" s="63" customFormat="1" ht="33.75" x14ac:dyDescent="0.25">
      <c r="A2965" s="84">
        <v>24.131</v>
      </c>
      <c r="B2965" s="81" t="s">
        <v>88</v>
      </c>
      <c r="C2965" s="82">
        <v>60</v>
      </c>
      <c r="D2965" s="131" t="s">
        <v>2655</v>
      </c>
      <c r="E2965" s="83" t="s">
        <v>2656</v>
      </c>
      <c r="F2965" s="81" t="s">
        <v>193</v>
      </c>
      <c r="G2965" s="89">
        <v>4.2000000000000002E-4</v>
      </c>
      <c r="H2965" s="85"/>
      <c r="I2965" s="86">
        <v>2.99</v>
      </c>
      <c r="J2965" s="185">
        <f t="shared" si="288"/>
        <v>8105.75</v>
      </c>
      <c r="K2965" s="189">
        <f t="shared" si="289"/>
        <v>3.4</v>
      </c>
      <c r="L2965" s="189"/>
      <c r="M2965" s="138"/>
      <c r="N2965" s="138"/>
      <c r="O2965" s="138"/>
      <c r="S2965" s="72"/>
      <c r="T2965" s="72"/>
      <c r="U2965" s="72"/>
      <c r="V2965" s="72"/>
    </row>
    <row r="2966" spans="1:22" s="63" customFormat="1" ht="22.5" x14ac:dyDescent="0.25">
      <c r="A2966" s="84">
        <v>24.132000000000001</v>
      </c>
      <c r="B2966" s="81" t="s">
        <v>88</v>
      </c>
      <c r="C2966" s="80">
        <v>60.1</v>
      </c>
      <c r="D2966" s="131" t="s">
        <v>2426</v>
      </c>
      <c r="E2966" s="83" t="s">
        <v>2427</v>
      </c>
      <c r="F2966" s="81" t="s">
        <v>205</v>
      </c>
      <c r="G2966" s="84">
        <v>0.63800000000000001</v>
      </c>
      <c r="H2966" s="85"/>
      <c r="I2966" s="86">
        <v>200.42</v>
      </c>
      <c r="J2966" s="185">
        <f t="shared" si="288"/>
        <v>357.68</v>
      </c>
      <c r="K2966" s="189">
        <f t="shared" si="289"/>
        <v>228.2</v>
      </c>
      <c r="L2966" s="189"/>
      <c r="M2966" s="138"/>
      <c r="N2966" s="138"/>
      <c r="O2966" s="138"/>
      <c r="S2966" s="72"/>
      <c r="T2966" s="72"/>
      <c r="U2966" s="72"/>
      <c r="V2966" s="72"/>
    </row>
    <row r="2967" spans="1:22" s="63" customFormat="1" ht="22.5" x14ac:dyDescent="0.25">
      <c r="A2967" s="84">
        <v>24.132999999999999</v>
      </c>
      <c r="B2967" s="81" t="s">
        <v>88</v>
      </c>
      <c r="C2967" s="82">
        <v>61</v>
      </c>
      <c r="D2967" s="131" t="s">
        <v>2627</v>
      </c>
      <c r="E2967" s="83" t="s">
        <v>2628</v>
      </c>
      <c r="F2967" s="81" t="s">
        <v>193</v>
      </c>
      <c r="G2967" s="89">
        <v>7.7799999999999996E-3</v>
      </c>
      <c r="H2967" s="85"/>
      <c r="I2967" s="86">
        <v>62.23</v>
      </c>
      <c r="J2967" s="185">
        <f t="shared" si="288"/>
        <v>9107.34</v>
      </c>
      <c r="K2967" s="189">
        <f t="shared" si="289"/>
        <v>70.86</v>
      </c>
      <c r="L2967" s="189"/>
      <c r="M2967" s="138"/>
      <c r="N2967" s="138"/>
      <c r="O2967" s="138"/>
      <c r="S2967" s="72"/>
      <c r="T2967" s="72"/>
      <c r="U2967" s="72"/>
      <c r="V2967" s="72"/>
    </row>
    <row r="2968" spans="1:22" s="63" customFormat="1" ht="15" x14ac:dyDescent="0.25">
      <c r="A2968" s="84">
        <v>24.134</v>
      </c>
      <c r="B2968" s="81" t="s">
        <v>88</v>
      </c>
      <c r="C2968" s="82">
        <v>62</v>
      </c>
      <c r="D2968" s="131" t="s">
        <v>201</v>
      </c>
      <c r="E2968" s="83" t="s">
        <v>202</v>
      </c>
      <c r="F2968" s="81" t="s">
        <v>196</v>
      </c>
      <c r="G2968" s="88">
        <v>7.7799999999999994E-2</v>
      </c>
      <c r="H2968" s="85"/>
      <c r="I2968" s="86">
        <v>1270.9000000000001</v>
      </c>
      <c r="J2968" s="185">
        <f t="shared" si="288"/>
        <v>18599.57</v>
      </c>
      <c r="K2968" s="189">
        <f t="shared" si="289"/>
        <v>1447.05</v>
      </c>
      <c r="L2968" s="189"/>
      <c r="M2968" s="138"/>
      <c r="N2968" s="138"/>
      <c r="O2968" s="138"/>
      <c r="S2968" s="72"/>
      <c r="T2968" s="72"/>
      <c r="U2968" s="72"/>
      <c r="V2968" s="72"/>
    </row>
    <row r="2969" spans="1:22" s="63" customFormat="1" ht="15" x14ac:dyDescent="0.25">
      <c r="A2969" s="84">
        <v>24.135000000000002</v>
      </c>
      <c r="B2969" s="81" t="s">
        <v>88</v>
      </c>
      <c r="C2969" s="82">
        <v>63</v>
      </c>
      <c r="D2969" s="131" t="s">
        <v>2657</v>
      </c>
      <c r="E2969" s="83" t="s">
        <v>2658</v>
      </c>
      <c r="F2969" s="81" t="s">
        <v>2350</v>
      </c>
      <c r="G2969" s="84">
        <v>2E-3</v>
      </c>
      <c r="H2969" s="85"/>
      <c r="I2969" s="86">
        <v>663.17</v>
      </c>
      <c r="J2969" s="185">
        <f t="shared" si="288"/>
        <v>377542.68</v>
      </c>
      <c r="K2969" s="189">
        <f t="shared" si="289"/>
        <v>755.09</v>
      </c>
      <c r="L2969" s="189"/>
      <c r="M2969" s="138"/>
      <c r="N2969" s="138"/>
      <c r="O2969" s="138"/>
      <c r="S2969" s="72"/>
      <c r="T2969" s="72"/>
      <c r="U2969" s="72"/>
      <c r="V2969" s="72"/>
    </row>
    <row r="2970" spans="1:22" s="63" customFormat="1" ht="22.5" x14ac:dyDescent="0.25">
      <c r="A2970" s="84">
        <v>24.135999999999999</v>
      </c>
      <c r="B2970" s="81" t="s">
        <v>88</v>
      </c>
      <c r="C2970" s="80">
        <v>63.1</v>
      </c>
      <c r="D2970" s="131" t="s">
        <v>2706</v>
      </c>
      <c r="E2970" s="83" t="s">
        <v>2707</v>
      </c>
      <c r="F2970" s="81" t="s">
        <v>334</v>
      </c>
      <c r="G2970" s="84">
        <v>2.016</v>
      </c>
      <c r="H2970" s="85"/>
      <c r="I2970" s="86">
        <v>2690.64</v>
      </c>
      <c r="J2970" s="185">
        <f t="shared" si="288"/>
        <v>1519.62</v>
      </c>
      <c r="K2970" s="189">
        <f t="shared" si="289"/>
        <v>3063.55</v>
      </c>
      <c r="L2970" s="189"/>
      <c r="M2970" s="138"/>
      <c r="N2970" s="138"/>
      <c r="O2970" s="138"/>
      <c r="S2970" s="72"/>
      <c r="T2970" s="72"/>
      <c r="U2970" s="72"/>
      <c r="V2970" s="72"/>
    </row>
    <row r="2971" spans="1:22" s="63" customFormat="1" ht="15" x14ac:dyDescent="0.25">
      <c r="A2971" s="84">
        <v>24.137</v>
      </c>
      <c r="B2971" s="81" t="s">
        <v>88</v>
      </c>
      <c r="C2971" s="82">
        <v>64</v>
      </c>
      <c r="D2971" s="131" t="s">
        <v>2708</v>
      </c>
      <c r="E2971" s="83" t="s">
        <v>2709</v>
      </c>
      <c r="F2971" s="81" t="s">
        <v>2350</v>
      </c>
      <c r="G2971" s="84">
        <v>2E-3</v>
      </c>
      <c r="H2971" s="85"/>
      <c r="I2971" s="86">
        <v>118.85</v>
      </c>
      <c r="J2971" s="185">
        <f t="shared" si="288"/>
        <v>67661.31</v>
      </c>
      <c r="K2971" s="189">
        <f t="shared" si="289"/>
        <v>135.32</v>
      </c>
      <c r="L2971" s="189"/>
      <c r="M2971" s="138"/>
      <c r="N2971" s="138"/>
      <c r="O2971" s="138"/>
      <c r="S2971" s="72"/>
      <c r="T2971" s="72"/>
      <c r="U2971" s="72"/>
      <c r="V2971" s="72"/>
    </row>
    <row r="2972" spans="1:22" s="63" customFormat="1" ht="15" x14ac:dyDescent="0.25">
      <c r="A2972" s="84">
        <v>24.138000000000002</v>
      </c>
      <c r="B2972" s="81" t="s">
        <v>88</v>
      </c>
      <c r="C2972" s="82">
        <v>65</v>
      </c>
      <c r="D2972" s="131" t="s">
        <v>280</v>
      </c>
      <c r="E2972" s="83" t="s">
        <v>281</v>
      </c>
      <c r="F2972" s="81" t="s">
        <v>226</v>
      </c>
      <c r="G2972" s="90">
        <v>4.346E-3</v>
      </c>
      <c r="H2972" s="85"/>
      <c r="I2972" s="86">
        <v>925.22</v>
      </c>
      <c r="J2972" s="185">
        <f t="shared" si="288"/>
        <v>242396.57</v>
      </c>
      <c r="K2972" s="189">
        <f t="shared" si="289"/>
        <v>1053.46</v>
      </c>
      <c r="L2972" s="189"/>
      <c r="M2972" s="138"/>
      <c r="N2972" s="138"/>
      <c r="O2972" s="138"/>
      <c r="S2972" s="72"/>
      <c r="T2972" s="72"/>
      <c r="U2972" s="72"/>
      <c r="V2972" s="72"/>
    </row>
    <row r="2973" spans="1:22" s="63" customFormat="1" ht="15" x14ac:dyDescent="0.25">
      <c r="A2973" s="84">
        <v>24.138999999999999</v>
      </c>
      <c r="B2973" s="81" t="s">
        <v>88</v>
      </c>
      <c r="C2973" s="80">
        <v>65.099999999999994</v>
      </c>
      <c r="D2973" s="131" t="s">
        <v>2710</v>
      </c>
      <c r="E2973" s="83" t="s">
        <v>4043</v>
      </c>
      <c r="F2973" s="81" t="s">
        <v>219</v>
      </c>
      <c r="G2973" s="82">
        <v>6</v>
      </c>
      <c r="H2973" s="85"/>
      <c r="I2973" s="86">
        <v>3042.91</v>
      </c>
      <c r="J2973" s="185">
        <f t="shared" si="288"/>
        <v>577.44000000000005</v>
      </c>
      <c r="K2973" s="189">
        <f t="shared" si="289"/>
        <v>3464.64</v>
      </c>
      <c r="L2973" s="189"/>
      <c r="M2973" s="138"/>
      <c r="N2973" s="138"/>
      <c r="O2973" s="138"/>
      <c r="S2973" s="72"/>
      <c r="T2973" s="72"/>
      <c r="U2973" s="72"/>
      <c r="V2973" s="72"/>
    </row>
    <row r="2974" spans="1:22" s="63" customFormat="1" ht="15" x14ac:dyDescent="0.25">
      <c r="A2974" s="84">
        <v>24.14</v>
      </c>
      <c r="B2974" s="81" t="s">
        <v>88</v>
      </c>
      <c r="C2974" s="80">
        <v>65.2</v>
      </c>
      <c r="D2974" s="131" t="s">
        <v>2711</v>
      </c>
      <c r="E2974" s="83" t="s">
        <v>4044</v>
      </c>
      <c r="F2974" s="81" t="s">
        <v>219</v>
      </c>
      <c r="G2974" s="82">
        <v>2</v>
      </c>
      <c r="H2974" s="85"/>
      <c r="I2974" s="86">
        <v>1331.91</v>
      </c>
      <c r="J2974" s="185">
        <f t="shared" si="288"/>
        <v>758.26</v>
      </c>
      <c r="K2974" s="189">
        <f t="shared" si="289"/>
        <v>1516.52</v>
      </c>
      <c r="L2974" s="189"/>
      <c r="M2974" s="138"/>
      <c r="N2974" s="138"/>
      <c r="O2974" s="138"/>
      <c r="S2974" s="72"/>
      <c r="T2974" s="72"/>
      <c r="U2974" s="72"/>
      <c r="V2974" s="72"/>
    </row>
    <row r="2975" spans="1:22" s="63" customFormat="1" ht="22.5" x14ac:dyDescent="0.25">
      <c r="A2975" s="84">
        <v>24.140999999999998</v>
      </c>
      <c r="B2975" s="81" t="s">
        <v>88</v>
      </c>
      <c r="C2975" s="80">
        <v>65.3</v>
      </c>
      <c r="D2975" s="131" t="s">
        <v>2567</v>
      </c>
      <c r="E2975" s="83" t="s">
        <v>2568</v>
      </c>
      <c r="F2975" s="81" t="s">
        <v>219</v>
      </c>
      <c r="G2975" s="82">
        <v>1</v>
      </c>
      <c r="H2975" s="85"/>
      <c r="I2975" s="86">
        <v>838.72</v>
      </c>
      <c r="J2975" s="185">
        <f t="shared" si="288"/>
        <v>954.97</v>
      </c>
      <c r="K2975" s="189">
        <f t="shared" si="289"/>
        <v>954.97</v>
      </c>
      <c r="L2975" s="189"/>
      <c r="M2975" s="138"/>
      <c r="N2975" s="138"/>
      <c r="O2975" s="138"/>
      <c r="S2975" s="72"/>
      <c r="T2975" s="72"/>
      <c r="U2975" s="72"/>
      <c r="V2975" s="72"/>
    </row>
    <row r="2976" spans="1:22" s="63" customFormat="1" ht="33.75" x14ac:dyDescent="0.25">
      <c r="A2976" s="84">
        <v>24.141999999999999</v>
      </c>
      <c r="B2976" s="81" t="s">
        <v>88</v>
      </c>
      <c r="C2976" s="82">
        <v>66</v>
      </c>
      <c r="D2976" s="131" t="s">
        <v>2712</v>
      </c>
      <c r="E2976" s="83" t="s">
        <v>2713</v>
      </c>
      <c r="F2976" s="81" t="s">
        <v>779</v>
      </c>
      <c r="G2976" s="82">
        <v>9</v>
      </c>
      <c r="H2976" s="85"/>
      <c r="I2976" s="86">
        <v>14935.93</v>
      </c>
      <c r="J2976" s="185">
        <f t="shared" si="288"/>
        <v>1889.56</v>
      </c>
      <c r="K2976" s="189">
        <f t="shared" si="289"/>
        <v>17006.04</v>
      </c>
      <c r="L2976" s="189"/>
      <c r="M2976" s="138"/>
      <c r="N2976" s="138"/>
      <c r="O2976" s="138"/>
      <c r="S2976" s="72"/>
      <c r="T2976" s="72"/>
      <c r="U2976" s="72"/>
      <c r="V2976" s="72"/>
    </row>
    <row r="2977" spans="1:22" s="63" customFormat="1" ht="22.5" x14ac:dyDescent="0.25">
      <c r="A2977" s="84">
        <v>24.143000000000001</v>
      </c>
      <c r="B2977" s="81" t="s">
        <v>88</v>
      </c>
      <c r="C2977" s="80">
        <v>66.099999999999994</v>
      </c>
      <c r="D2977" s="131" t="s">
        <v>2622</v>
      </c>
      <c r="E2977" s="83" t="s">
        <v>2623</v>
      </c>
      <c r="F2977" s="81" t="s">
        <v>226</v>
      </c>
      <c r="G2977" s="88">
        <v>4.9700000000000001E-2</v>
      </c>
      <c r="H2977" s="85"/>
      <c r="I2977" s="86">
        <v>12689.34</v>
      </c>
      <c r="J2977" s="185">
        <f t="shared" si="288"/>
        <v>290705.89</v>
      </c>
      <c r="K2977" s="189">
        <f t="shared" si="289"/>
        <v>14448.08</v>
      </c>
      <c r="L2977" s="189"/>
      <c r="M2977" s="138"/>
      <c r="N2977" s="138"/>
      <c r="O2977" s="138"/>
      <c r="S2977" s="72"/>
      <c r="T2977" s="72"/>
      <c r="U2977" s="72"/>
      <c r="V2977" s="72"/>
    </row>
    <row r="2978" spans="1:22" s="128" customFormat="1" ht="12.75" x14ac:dyDescent="0.25">
      <c r="A2978" s="242"/>
      <c r="B2978" s="125"/>
      <c r="C2978" s="236"/>
      <c r="D2978" s="77"/>
      <c r="E2978" s="126" t="s">
        <v>3390</v>
      </c>
      <c r="F2978" s="125"/>
      <c r="G2978" s="240"/>
      <c r="H2978" s="127"/>
      <c r="I2978" s="78"/>
      <c r="J2978" s="238"/>
      <c r="K2978" s="239"/>
      <c r="L2978" s="239"/>
      <c r="M2978" s="79"/>
      <c r="N2978" s="79"/>
      <c r="O2978" s="79"/>
      <c r="S2978" s="129"/>
      <c r="T2978" s="129"/>
      <c r="U2978" s="129"/>
      <c r="V2978" s="129"/>
    </row>
    <row r="2979" spans="1:22" s="63" customFormat="1" ht="22.5" x14ac:dyDescent="0.25">
      <c r="A2979" s="84">
        <v>24.143999999999998</v>
      </c>
      <c r="B2979" s="81" t="s">
        <v>88</v>
      </c>
      <c r="C2979" s="82">
        <v>67</v>
      </c>
      <c r="D2979" s="131" t="s">
        <v>2474</v>
      </c>
      <c r="E2979" s="83" t="s">
        <v>2714</v>
      </c>
      <c r="F2979" s="81" t="s">
        <v>226</v>
      </c>
      <c r="G2979" s="84">
        <v>2.8000000000000001E-2</v>
      </c>
      <c r="H2979" s="85"/>
      <c r="I2979" s="86">
        <v>24122.7</v>
      </c>
      <c r="J2979" s="185">
        <f t="shared" ref="J2979:J2992" si="290">ROUND($I2979/$G2979*$N$11,2)</f>
        <v>980932.37</v>
      </c>
      <c r="K2979" s="189">
        <f t="shared" ref="K2979:K2992" si="291">ROUND(G2979*J2979,2)</f>
        <v>27466.11</v>
      </c>
      <c r="L2979" s="189"/>
      <c r="M2979" s="138"/>
      <c r="N2979" s="138"/>
      <c r="O2979" s="138"/>
      <c r="S2979" s="72"/>
      <c r="T2979" s="72"/>
      <c r="U2979" s="72"/>
      <c r="V2979" s="72"/>
    </row>
    <row r="2980" spans="1:22" s="63" customFormat="1" ht="22.5" x14ac:dyDescent="0.25">
      <c r="A2980" s="84">
        <v>24.145</v>
      </c>
      <c r="B2980" s="81" t="s">
        <v>88</v>
      </c>
      <c r="C2980" s="80">
        <v>67.099999999999994</v>
      </c>
      <c r="D2980" s="131" t="s">
        <v>2476</v>
      </c>
      <c r="E2980" s="83" t="s">
        <v>2477</v>
      </c>
      <c r="F2980" s="81" t="s">
        <v>226</v>
      </c>
      <c r="G2980" s="84">
        <v>-2.8000000000000001E-2</v>
      </c>
      <c r="H2980" s="85"/>
      <c r="I2980" s="86">
        <v>-1836.38</v>
      </c>
      <c r="J2980" s="185">
        <f t="shared" si="290"/>
        <v>74675.08</v>
      </c>
      <c r="K2980" s="189">
        <f t="shared" si="291"/>
        <v>-2090.9</v>
      </c>
      <c r="L2980" s="189"/>
      <c r="M2980" s="138"/>
      <c r="N2980" s="138"/>
      <c r="O2980" s="138"/>
      <c r="S2980" s="72"/>
      <c r="T2980" s="72"/>
      <c r="U2980" s="72"/>
      <c r="V2980" s="72"/>
    </row>
    <row r="2981" spans="1:22" s="63" customFormat="1" ht="22.5" x14ac:dyDescent="0.25">
      <c r="A2981" s="84">
        <v>24.146000000000001</v>
      </c>
      <c r="B2981" s="81" t="s">
        <v>88</v>
      </c>
      <c r="C2981" s="80">
        <v>67.2</v>
      </c>
      <c r="D2981" s="131" t="s">
        <v>2715</v>
      </c>
      <c r="E2981" s="83" t="s">
        <v>4045</v>
      </c>
      <c r="F2981" s="81" t="s">
        <v>219</v>
      </c>
      <c r="G2981" s="82">
        <v>1</v>
      </c>
      <c r="H2981" s="85"/>
      <c r="I2981" s="86">
        <v>3545.96</v>
      </c>
      <c r="J2981" s="185">
        <f t="shared" si="290"/>
        <v>4037.43</v>
      </c>
      <c r="K2981" s="189">
        <f t="shared" si="291"/>
        <v>4037.43</v>
      </c>
      <c r="L2981" s="189"/>
      <c r="M2981" s="138"/>
      <c r="N2981" s="138"/>
      <c r="O2981" s="138"/>
      <c r="S2981" s="72"/>
      <c r="T2981" s="72"/>
      <c r="U2981" s="72"/>
      <c r="V2981" s="72"/>
    </row>
    <row r="2982" spans="1:22" s="63" customFormat="1" ht="15" x14ac:dyDescent="0.25">
      <c r="A2982" s="84">
        <v>24.146999999999998</v>
      </c>
      <c r="B2982" s="81" t="s">
        <v>88</v>
      </c>
      <c r="C2982" s="82">
        <v>68</v>
      </c>
      <c r="D2982" s="131" t="s">
        <v>2716</v>
      </c>
      <c r="E2982" s="83" t="s">
        <v>2717</v>
      </c>
      <c r="F2982" s="81" t="s">
        <v>219</v>
      </c>
      <c r="G2982" s="82">
        <v>1</v>
      </c>
      <c r="H2982" s="85"/>
      <c r="I2982" s="86">
        <v>21986.91</v>
      </c>
      <c r="J2982" s="185">
        <f t="shared" si="290"/>
        <v>25034.3</v>
      </c>
      <c r="K2982" s="189">
        <f t="shared" si="291"/>
        <v>25034.3</v>
      </c>
      <c r="L2982" s="189"/>
      <c r="M2982" s="138"/>
      <c r="N2982" s="138"/>
      <c r="O2982" s="138"/>
      <c r="S2982" s="72"/>
      <c r="T2982" s="72"/>
      <c r="U2982" s="72"/>
      <c r="V2982" s="72"/>
    </row>
    <row r="2983" spans="1:22" s="63" customFormat="1" ht="22.5" x14ac:dyDescent="0.25">
      <c r="A2983" s="84">
        <v>24.148</v>
      </c>
      <c r="B2983" s="81" t="s">
        <v>88</v>
      </c>
      <c r="C2983" s="80">
        <v>68.099999999999994</v>
      </c>
      <c r="D2983" s="131" t="s">
        <v>2718</v>
      </c>
      <c r="E2983" s="83" t="s">
        <v>2719</v>
      </c>
      <c r="F2983" s="81" t="s">
        <v>334</v>
      </c>
      <c r="G2983" s="82">
        <v>80</v>
      </c>
      <c r="H2983" s="85"/>
      <c r="I2983" s="86">
        <v>5278.27</v>
      </c>
      <c r="J2983" s="185">
        <f t="shared" si="290"/>
        <v>75.12</v>
      </c>
      <c r="K2983" s="189">
        <f t="shared" si="291"/>
        <v>6009.6</v>
      </c>
      <c r="L2983" s="189"/>
      <c r="M2983" s="138"/>
      <c r="N2983" s="138"/>
      <c r="O2983" s="138"/>
      <c r="S2983" s="72"/>
      <c r="T2983" s="72"/>
      <c r="U2983" s="72"/>
      <c r="V2983" s="72"/>
    </row>
    <row r="2984" spans="1:22" s="63" customFormat="1" ht="22.5" x14ac:dyDescent="0.25">
      <c r="A2984" s="84">
        <v>24.149000000000001</v>
      </c>
      <c r="B2984" s="81" t="s">
        <v>88</v>
      </c>
      <c r="C2984" s="80">
        <v>68.2</v>
      </c>
      <c r="D2984" s="131" t="s">
        <v>2720</v>
      </c>
      <c r="E2984" s="83" t="s">
        <v>2721</v>
      </c>
      <c r="F2984" s="81" t="s">
        <v>219</v>
      </c>
      <c r="G2984" s="82">
        <v>4</v>
      </c>
      <c r="H2984" s="85"/>
      <c r="I2984" s="86">
        <v>656.41</v>
      </c>
      <c r="J2984" s="185">
        <f t="shared" si="290"/>
        <v>186.85</v>
      </c>
      <c r="K2984" s="189">
        <f t="shared" si="291"/>
        <v>747.4</v>
      </c>
      <c r="L2984" s="189"/>
      <c r="M2984" s="138"/>
      <c r="N2984" s="138"/>
      <c r="O2984" s="138"/>
      <c r="S2984" s="72"/>
      <c r="T2984" s="72"/>
      <c r="U2984" s="72"/>
      <c r="V2984" s="72"/>
    </row>
    <row r="2985" spans="1:22" s="63" customFormat="1" ht="22.5" x14ac:dyDescent="0.25">
      <c r="A2985" s="84">
        <v>24.15</v>
      </c>
      <c r="B2985" s="81" t="s">
        <v>88</v>
      </c>
      <c r="C2985" s="82">
        <v>69</v>
      </c>
      <c r="D2985" s="131" t="s">
        <v>671</v>
      </c>
      <c r="E2985" s="83" t="s">
        <v>672</v>
      </c>
      <c r="F2985" s="81" t="s">
        <v>566</v>
      </c>
      <c r="G2985" s="80">
        <v>0.1</v>
      </c>
      <c r="H2985" s="85"/>
      <c r="I2985" s="86">
        <v>1180.75</v>
      </c>
      <c r="J2985" s="185">
        <f t="shared" si="290"/>
        <v>13444.02</v>
      </c>
      <c r="K2985" s="189">
        <f t="shared" si="291"/>
        <v>1344.4</v>
      </c>
      <c r="L2985" s="189"/>
      <c r="M2985" s="138"/>
      <c r="N2985" s="138"/>
      <c r="O2985" s="138"/>
      <c r="S2985" s="72"/>
      <c r="T2985" s="72"/>
      <c r="U2985" s="72"/>
      <c r="V2985" s="72"/>
    </row>
    <row r="2986" spans="1:22" s="63" customFormat="1" ht="33.75" x14ac:dyDescent="0.25">
      <c r="A2986" s="84">
        <v>24.151</v>
      </c>
      <c r="B2986" s="81" t="s">
        <v>88</v>
      </c>
      <c r="C2986" s="80">
        <v>69.099999999999994</v>
      </c>
      <c r="D2986" s="131" t="s">
        <v>2722</v>
      </c>
      <c r="E2986" s="83" t="s">
        <v>2723</v>
      </c>
      <c r="F2986" s="81" t="s">
        <v>219</v>
      </c>
      <c r="G2986" s="82">
        <v>1</v>
      </c>
      <c r="H2986" s="85"/>
      <c r="I2986" s="86">
        <v>3818.67</v>
      </c>
      <c r="J2986" s="185">
        <f t="shared" si="290"/>
        <v>4347.9399999999996</v>
      </c>
      <c r="K2986" s="189">
        <f t="shared" si="291"/>
        <v>4347.9399999999996</v>
      </c>
      <c r="L2986" s="189"/>
      <c r="M2986" s="138"/>
      <c r="N2986" s="138"/>
      <c r="O2986" s="138"/>
      <c r="S2986" s="72"/>
      <c r="T2986" s="72"/>
      <c r="U2986" s="72"/>
      <c r="V2986" s="72"/>
    </row>
    <row r="2987" spans="1:22" s="63" customFormat="1" ht="15" x14ac:dyDescent="0.25">
      <c r="A2987" s="84">
        <v>24.152000000000001</v>
      </c>
      <c r="B2987" s="81" t="s">
        <v>88</v>
      </c>
      <c r="C2987" s="82">
        <v>70</v>
      </c>
      <c r="D2987" s="131" t="s">
        <v>2724</v>
      </c>
      <c r="E2987" s="83" t="s">
        <v>2725</v>
      </c>
      <c r="F2987" s="81" t="s">
        <v>219</v>
      </c>
      <c r="G2987" s="82">
        <v>1</v>
      </c>
      <c r="H2987" s="85"/>
      <c r="I2987" s="86">
        <v>17579.830000000002</v>
      </c>
      <c r="J2987" s="185">
        <f t="shared" si="290"/>
        <v>20016.39</v>
      </c>
      <c r="K2987" s="189">
        <f t="shared" si="291"/>
        <v>20016.39</v>
      </c>
      <c r="L2987" s="189"/>
      <c r="M2987" s="138"/>
      <c r="N2987" s="138"/>
      <c r="O2987" s="138"/>
      <c r="S2987" s="72"/>
      <c r="T2987" s="72"/>
      <c r="U2987" s="72"/>
      <c r="V2987" s="72"/>
    </row>
    <row r="2988" spans="1:22" s="63" customFormat="1" ht="15" x14ac:dyDescent="0.25">
      <c r="A2988" s="84">
        <v>24.152999999999999</v>
      </c>
      <c r="B2988" s="81" t="s">
        <v>88</v>
      </c>
      <c r="C2988" s="82">
        <v>71</v>
      </c>
      <c r="D2988" s="131" t="s">
        <v>2726</v>
      </c>
      <c r="E2988" s="83" t="s">
        <v>2727</v>
      </c>
      <c r="F2988" s="81" t="s">
        <v>219</v>
      </c>
      <c r="G2988" s="82">
        <v>2</v>
      </c>
      <c r="H2988" s="85"/>
      <c r="I2988" s="86">
        <v>3554.08</v>
      </c>
      <c r="J2988" s="185">
        <f t="shared" si="290"/>
        <v>2023.34</v>
      </c>
      <c r="K2988" s="189">
        <f t="shared" si="291"/>
        <v>4046.68</v>
      </c>
      <c r="L2988" s="189"/>
      <c r="M2988" s="138"/>
      <c r="N2988" s="138"/>
      <c r="O2988" s="138"/>
      <c r="S2988" s="72"/>
      <c r="T2988" s="72"/>
      <c r="U2988" s="72"/>
      <c r="V2988" s="72"/>
    </row>
    <row r="2989" spans="1:22" s="63" customFormat="1" ht="22.5" x14ac:dyDescent="0.25">
      <c r="A2989" s="84">
        <v>24.154</v>
      </c>
      <c r="B2989" s="81" t="s">
        <v>88</v>
      </c>
      <c r="C2989" s="80">
        <v>71.099999999999994</v>
      </c>
      <c r="D2989" s="131" t="s">
        <v>2728</v>
      </c>
      <c r="E2989" s="83" t="s">
        <v>2729</v>
      </c>
      <c r="F2989" s="81" t="s">
        <v>219</v>
      </c>
      <c r="G2989" s="82">
        <v>2</v>
      </c>
      <c r="H2989" s="85"/>
      <c r="I2989" s="86">
        <v>674.52</v>
      </c>
      <c r="J2989" s="185">
        <f t="shared" si="290"/>
        <v>384</v>
      </c>
      <c r="K2989" s="189">
        <f t="shared" si="291"/>
        <v>768</v>
      </c>
      <c r="L2989" s="189"/>
      <c r="M2989" s="138"/>
      <c r="N2989" s="138"/>
      <c r="O2989" s="138"/>
      <c r="S2989" s="72"/>
      <c r="T2989" s="72"/>
      <c r="U2989" s="72"/>
      <c r="V2989" s="72"/>
    </row>
    <row r="2990" spans="1:22" s="63" customFormat="1" ht="15" x14ac:dyDescent="0.25">
      <c r="A2990" s="84">
        <v>24.155000000000001</v>
      </c>
      <c r="B2990" s="81" t="s">
        <v>88</v>
      </c>
      <c r="C2990" s="82">
        <v>72</v>
      </c>
      <c r="D2990" s="131" t="s">
        <v>2474</v>
      </c>
      <c r="E2990" s="83" t="s">
        <v>2475</v>
      </c>
      <c r="F2990" s="81" t="s">
        <v>226</v>
      </c>
      <c r="G2990" s="88">
        <v>5.9999999999999995E-4</v>
      </c>
      <c r="H2990" s="85"/>
      <c r="I2990" s="86">
        <v>517.04999999999995</v>
      </c>
      <c r="J2990" s="185">
        <f t="shared" si="290"/>
        <v>981188.55</v>
      </c>
      <c r="K2990" s="189">
        <f t="shared" si="291"/>
        <v>588.71</v>
      </c>
      <c r="L2990" s="189"/>
      <c r="M2990" s="138"/>
      <c r="N2990" s="138"/>
      <c r="O2990" s="138"/>
      <c r="S2990" s="72"/>
      <c r="T2990" s="72"/>
      <c r="U2990" s="72"/>
      <c r="V2990" s="72"/>
    </row>
    <row r="2991" spans="1:22" s="63" customFormat="1" ht="22.5" x14ac:dyDescent="0.25">
      <c r="A2991" s="84">
        <v>24.155999999999999</v>
      </c>
      <c r="B2991" s="81" t="s">
        <v>88</v>
      </c>
      <c r="C2991" s="80">
        <v>72.099999999999994</v>
      </c>
      <c r="D2991" s="131" t="s">
        <v>2476</v>
      </c>
      <c r="E2991" s="83" t="s">
        <v>2477</v>
      </c>
      <c r="F2991" s="81" t="s">
        <v>226</v>
      </c>
      <c r="G2991" s="88">
        <v>-5.9999999999999995E-4</v>
      </c>
      <c r="H2991" s="85"/>
      <c r="I2991" s="86">
        <v>-39.340000000000003</v>
      </c>
      <c r="J2991" s="185">
        <f t="shared" si="290"/>
        <v>74654.210000000006</v>
      </c>
      <c r="K2991" s="189">
        <f t="shared" si="291"/>
        <v>-44.79</v>
      </c>
      <c r="L2991" s="189"/>
      <c r="M2991" s="138"/>
      <c r="N2991" s="138"/>
      <c r="O2991" s="138"/>
      <c r="S2991" s="72"/>
      <c r="T2991" s="72"/>
      <c r="U2991" s="72"/>
      <c r="V2991" s="72"/>
    </row>
    <row r="2992" spans="1:22" s="63" customFormat="1" ht="22.5" x14ac:dyDescent="0.25">
      <c r="A2992" s="84">
        <v>24.157</v>
      </c>
      <c r="B2992" s="81" t="s">
        <v>88</v>
      </c>
      <c r="C2992" s="80">
        <v>72.2</v>
      </c>
      <c r="D2992" s="131" t="s">
        <v>2730</v>
      </c>
      <c r="E2992" s="83" t="s">
        <v>2731</v>
      </c>
      <c r="F2992" s="81" t="s">
        <v>219</v>
      </c>
      <c r="G2992" s="82">
        <v>1</v>
      </c>
      <c r="H2992" s="85"/>
      <c r="I2992" s="86">
        <v>443.2</v>
      </c>
      <c r="J2992" s="185">
        <f t="shared" si="290"/>
        <v>504.63</v>
      </c>
      <c r="K2992" s="189">
        <f t="shared" si="291"/>
        <v>504.63</v>
      </c>
      <c r="L2992" s="189"/>
      <c r="M2992" s="138"/>
      <c r="N2992" s="138"/>
      <c r="O2992" s="138"/>
      <c r="S2992" s="72"/>
      <c r="T2992" s="72"/>
      <c r="U2992" s="72"/>
      <c r="V2992" s="72"/>
    </row>
    <row r="2993" spans="1:22" s="128" customFormat="1" ht="12.75" x14ac:dyDescent="0.25">
      <c r="A2993" s="242"/>
      <c r="B2993" s="125"/>
      <c r="C2993" s="236"/>
      <c r="D2993" s="77"/>
      <c r="E2993" s="126" t="s">
        <v>3391</v>
      </c>
      <c r="F2993" s="125"/>
      <c r="G2993" s="76"/>
      <c r="H2993" s="127"/>
      <c r="I2993" s="78"/>
      <c r="J2993" s="238"/>
      <c r="K2993" s="239"/>
      <c r="L2993" s="239"/>
      <c r="M2993" s="79"/>
      <c r="N2993" s="79"/>
      <c r="O2993" s="79"/>
      <c r="S2993" s="129"/>
      <c r="T2993" s="129"/>
      <c r="U2993" s="129"/>
      <c r="V2993" s="129"/>
    </row>
    <row r="2994" spans="1:22" s="128" customFormat="1" ht="12.75" x14ac:dyDescent="0.25">
      <c r="A2994" s="242"/>
      <c r="B2994" s="125"/>
      <c r="C2994" s="236"/>
      <c r="D2994" s="77"/>
      <c r="E2994" s="126" t="s">
        <v>3393</v>
      </c>
      <c r="F2994" s="125"/>
      <c r="G2994" s="76"/>
      <c r="H2994" s="127"/>
      <c r="I2994" s="78"/>
      <c r="J2994" s="238"/>
      <c r="K2994" s="239"/>
      <c r="L2994" s="239"/>
      <c r="M2994" s="79"/>
      <c r="N2994" s="79"/>
      <c r="O2994" s="79"/>
      <c r="S2994" s="129"/>
      <c r="T2994" s="129"/>
      <c r="U2994" s="129"/>
      <c r="V2994" s="129"/>
    </row>
    <row r="2995" spans="1:22" s="63" customFormat="1" ht="22.5" x14ac:dyDescent="0.25">
      <c r="A2995" s="84">
        <v>24.158000000000001</v>
      </c>
      <c r="B2995" s="81" t="s">
        <v>88</v>
      </c>
      <c r="C2995" s="82">
        <v>73</v>
      </c>
      <c r="D2995" s="131" t="s">
        <v>2638</v>
      </c>
      <c r="E2995" s="83" t="s">
        <v>2639</v>
      </c>
      <c r="F2995" s="81" t="s">
        <v>193</v>
      </c>
      <c r="G2995" s="90">
        <v>0.16427900000000001</v>
      </c>
      <c r="H2995" s="85"/>
      <c r="I2995" s="86">
        <v>15667.78</v>
      </c>
      <c r="J2995" s="185">
        <f t="shared" ref="J2995:J3012" si="292">ROUND($I2995/$G2995*$N$11,2)</f>
        <v>108591.69</v>
      </c>
      <c r="K2995" s="189">
        <f t="shared" ref="K2995:K3012" si="293">ROUND(G2995*J2995,2)</f>
        <v>17839.330000000002</v>
      </c>
      <c r="L2995" s="189"/>
      <c r="M2995" s="138"/>
      <c r="N2995" s="138"/>
      <c r="O2995" s="138"/>
      <c r="S2995" s="72"/>
      <c r="T2995" s="72"/>
      <c r="U2995" s="72"/>
      <c r="V2995" s="72"/>
    </row>
    <row r="2996" spans="1:22" s="63" customFormat="1" ht="22.5" x14ac:dyDescent="0.25">
      <c r="A2996" s="84">
        <v>24.158999999999999</v>
      </c>
      <c r="B2996" s="81" t="s">
        <v>88</v>
      </c>
      <c r="C2996" s="82">
        <v>74</v>
      </c>
      <c r="D2996" s="131" t="s">
        <v>2553</v>
      </c>
      <c r="E2996" s="83" t="s">
        <v>2554</v>
      </c>
      <c r="F2996" s="81" t="s">
        <v>196</v>
      </c>
      <c r="G2996" s="90">
        <v>5.0807999999999999E-2</v>
      </c>
      <c r="H2996" s="85"/>
      <c r="I2996" s="86">
        <v>9379.66</v>
      </c>
      <c r="J2996" s="185">
        <f t="shared" si="292"/>
        <v>210196.84</v>
      </c>
      <c r="K2996" s="189">
        <f t="shared" si="293"/>
        <v>10679.68</v>
      </c>
      <c r="L2996" s="189"/>
      <c r="M2996" s="138"/>
      <c r="N2996" s="138"/>
      <c r="O2996" s="138"/>
      <c r="S2996" s="72"/>
      <c r="T2996" s="72"/>
      <c r="U2996" s="72"/>
      <c r="V2996" s="72"/>
    </row>
    <row r="2997" spans="1:22" s="63" customFormat="1" ht="15" x14ac:dyDescent="0.25">
      <c r="A2997" s="84">
        <v>24.16</v>
      </c>
      <c r="B2997" s="81" t="s">
        <v>88</v>
      </c>
      <c r="C2997" s="82">
        <v>75</v>
      </c>
      <c r="D2997" s="131" t="s">
        <v>2340</v>
      </c>
      <c r="E2997" s="83" t="s">
        <v>2341</v>
      </c>
      <c r="F2997" s="81" t="s">
        <v>319</v>
      </c>
      <c r="G2997" s="84">
        <v>0.124</v>
      </c>
      <c r="H2997" s="85"/>
      <c r="I2997" s="86">
        <v>1342.88</v>
      </c>
      <c r="J2997" s="185">
        <f t="shared" si="292"/>
        <v>12330.67</v>
      </c>
      <c r="K2997" s="189">
        <f t="shared" si="293"/>
        <v>1529</v>
      </c>
      <c r="L2997" s="189"/>
      <c r="M2997" s="138"/>
      <c r="N2997" s="138"/>
      <c r="O2997" s="138"/>
      <c r="S2997" s="72"/>
      <c r="T2997" s="72"/>
      <c r="U2997" s="72"/>
      <c r="V2997" s="72"/>
    </row>
    <row r="2998" spans="1:22" s="63" customFormat="1" ht="22.5" x14ac:dyDescent="0.25">
      <c r="A2998" s="84">
        <v>24.161000000000001</v>
      </c>
      <c r="B2998" s="81" t="s">
        <v>88</v>
      </c>
      <c r="C2998" s="80">
        <v>75.099999999999994</v>
      </c>
      <c r="D2998" s="131" t="s">
        <v>2426</v>
      </c>
      <c r="E2998" s="83" t="s">
        <v>2427</v>
      </c>
      <c r="F2998" s="81" t="s">
        <v>205</v>
      </c>
      <c r="G2998" s="84">
        <v>1.3640000000000001</v>
      </c>
      <c r="H2998" s="85"/>
      <c r="I2998" s="86">
        <v>428.37</v>
      </c>
      <c r="J2998" s="185">
        <f t="shared" si="292"/>
        <v>357.58</v>
      </c>
      <c r="K2998" s="189">
        <f t="shared" si="293"/>
        <v>487.74</v>
      </c>
      <c r="L2998" s="189"/>
      <c r="M2998" s="138"/>
      <c r="N2998" s="138"/>
      <c r="O2998" s="138"/>
      <c r="S2998" s="72"/>
      <c r="T2998" s="72"/>
      <c r="U2998" s="72"/>
      <c r="V2998" s="72"/>
    </row>
    <row r="2999" spans="1:22" s="63" customFormat="1" ht="22.5" x14ac:dyDescent="0.25">
      <c r="A2999" s="84">
        <v>24.161999999999999</v>
      </c>
      <c r="B2999" s="81" t="s">
        <v>88</v>
      </c>
      <c r="C2999" s="82">
        <v>76</v>
      </c>
      <c r="D2999" s="131" t="s">
        <v>2627</v>
      </c>
      <c r="E2999" s="83" t="s">
        <v>2628</v>
      </c>
      <c r="F2999" s="81" t="s">
        <v>193</v>
      </c>
      <c r="G2999" s="88">
        <v>0.14019999999999999</v>
      </c>
      <c r="H2999" s="85"/>
      <c r="I2999" s="86">
        <v>1116.21</v>
      </c>
      <c r="J2999" s="185">
        <f t="shared" si="292"/>
        <v>9065.0300000000007</v>
      </c>
      <c r="K2999" s="189">
        <f t="shared" si="293"/>
        <v>1270.92</v>
      </c>
      <c r="L2999" s="189"/>
      <c r="M2999" s="138"/>
      <c r="N2999" s="138"/>
      <c r="O2999" s="138"/>
      <c r="S2999" s="72"/>
      <c r="T2999" s="72"/>
      <c r="U2999" s="72"/>
      <c r="V2999" s="72"/>
    </row>
    <row r="3000" spans="1:22" s="63" customFormat="1" ht="15" x14ac:dyDescent="0.25">
      <c r="A3000" s="84">
        <v>24.163</v>
      </c>
      <c r="B3000" s="81" t="s">
        <v>88</v>
      </c>
      <c r="C3000" s="82">
        <v>77</v>
      </c>
      <c r="D3000" s="131" t="s">
        <v>201</v>
      </c>
      <c r="E3000" s="83" t="s">
        <v>202</v>
      </c>
      <c r="F3000" s="81" t="s">
        <v>196</v>
      </c>
      <c r="G3000" s="84">
        <v>1.4019999999999999</v>
      </c>
      <c r="H3000" s="85"/>
      <c r="I3000" s="86">
        <v>22893.18</v>
      </c>
      <c r="J3000" s="185">
        <f t="shared" si="292"/>
        <v>18592.14</v>
      </c>
      <c r="K3000" s="189">
        <f t="shared" si="293"/>
        <v>26066.18</v>
      </c>
      <c r="L3000" s="189"/>
      <c r="M3000" s="138"/>
      <c r="N3000" s="138"/>
      <c r="O3000" s="138"/>
      <c r="S3000" s="72"/>
      <c r="T3000" s="72"/>
      <c r="U3000" s="72"/>
      <c r="V3000" s="72"/>
    </row>
    <row r="3001" spans="1:22" s="63" customFormat="1" ht="15" x14ac:dyDescent="0.25">
      <c r="A3001" s="84">
        <v>24.164000000000001</v>
      </c>
      <c r="B3001" s="81" t="s">
        <v>88</v>
      </c>
      <c r="C3001" s="82">
        <v>78</v>
      </c>
      <c r="D3001" s="131" t="s">
        <v>2629</v>
      </c>
      <c r="E3001" s="83" t="s">
        <v>2630</v>
      </c>
      <c r="F3001" s="81" t="s">
        <v>319</v>
      </c>
      <c r="G3001" s="84">
        <v>0.66800000000000004</v>
      </c>
      <c r="H3001" s="85"/>
      <c r="I3001" s="86">
        <v>155097.53</v>
      </c>
      <c r="J3001" s="185">
        <f t="shared" si="292"/>
        <v>264362.34999999998</v>
      </c>
      <c r="K3001" s="189">
        <f t="shared" si="293"/>
        <v>176594.05</v>
      </c>
      <c r="L3001" s="189"/>
      <c r="M3001" s="138"/>
      <c r="N3001" s="138"/>
      <c r="O3001" s="138"/>
      <c r="S3001" s="72"/>
      <c r="T3001" s="72"/>
      <c r="U3001" s="72"/>
      <c r="V3001" s="72"/>
    </row>
    <row r="3002" spans="1:22" s="63" customFormat="1" ht="22.5" x14ac:dyDescent="0.25">
      <c r="A3002" s="84">
        <v>24.164999999999999</v>
      </c>
      <c r="B3002" s="81" t="s">
        <v>88</v>
      </c>
      <c r="C3002" s="80">
        <v>78.099999999999994</v>
      </c>
      <c r="D3002" s="131" t="s">
        <v>2592</v>
      </c>
      <c r="E3002" s="83" t="s">
        <v>2593</v>
      </c>
      <c r="F3002" s="81" t="s">
        <v>205</v>
      </c>
      <c r="G3002" s="88">
        <v>-2.6385999999999998</v>
      </c>
      <c r="H3002" s="85"/>
      <c r="I3002" s="86">
        <v>-26550.58</v>
      </c>
      <c r="J3002" s="185">
        <f t="shared" si="292"/>
        <v>11457.02</v>
      </c>
      <c r="K3002" s="189">
        <f t="shared" si="293"/>
        <v>-30230.49</v>
      </c>
      <c r="L3002" s="189"/>
      <c r="M3002" s="138"/>
      <c r="N3002" s="138"/>
      <c r="O3002" s="138"/>
      <c r="S3002" s="72"/>
      <c r="T3002" s="72"/>
      <c r="U3002" s="72"/>
      <c r="V3002" s="72"/>
    </row>
    <row r="3003" spans="1:22" s="63" customFormat="1" ht="22.5" x14ac:dyDescent="0.25">
      <c r="A3003" s="84">
        <v>24.166</v>
      </c>
      <c r="B3003" s="81" t="s">
        <v>88</v>
      </c>
      <c r="C3003" s="80">
        <v>78.2</v>
      </c>
      <c r="D3003" s="131" t="s">
        <v>590</v>
      </c>
      <c r="E3003" s="83" t="s">
        <v>591</v>
      </c>
      <c r="F3003" s="81" t="s">
        <v>205</v>
      </c>
      <c r="G3003" s="88">
        <v>6.6799999999999998E-2</v>
      </c>
      <c r="H3003" s="85"/>
      <c r="I3003" s="86">
        <v>206.55</v>
      </c>
      <c r="J3003" s="185">
        <f t="shared" si="292"/>
        <v>3520.63</v>
      </c>
      <c r="K3003" s="189">
        <f t="shared" si="293"/>
        <v>235.18</v>
      </c>
      <c r="L3003" s="189"/>
      <c r="M3003" s="138"/>
      <c r="N3003" s="138"/>
      <c r="O3003" s="138"/>
      <c r="S3003" s="72"/>
      <c r="T3003" s="72"/>
      <c r="U3003" s="72"/>
      <c r="V3003" s="72"/>
    </row>
    <row r="3004" spans="1:22" s="63" customFormat="1" ht="22.5" x14ac:dyDescent="0.25">
      <c r="A3004" s="84">
        <v>24.167000000000002</v>
      </c>
      <c r="B3004" s="81" t="s">
        <v>88</v>
      </c>
      <c r="C3004" s="80">
        <v>78.3</v>
      </c>
      <c r="D3004" s="131" t="s">
        <v>2631</v>
      </c>
      <c r="E3004" s="83" t="s">
        <v>2632</v>
      </c>
      <c r="F3004" s="81" t="s">
        <v>205</v>
      </c>
      <c r="G3004" s="89">
        <v>1.5096799999999999</v>
      </c>
      <c r="H3004" s="85"/>
      <c r="I3004" s="86">
        <v>1581</v>
      </c>
      <c r="J3004" s="185">
        <f t="shared" si="292"/>
        <v>1192.3900000000001</v>
      </c>
      <c r="K3004" s="189">
        <f t="shared" si="293"/>
        <v>1800.13</v>
      </c>
      <c r="L3004" s="189"/>
      <c r="M3004" s="138"/>
      <c r="N3004" s="138"/>
      <c r="O3004" s="138"/>
      <c r="S3004" s="72"/>
      <c r="T3004" s="72"/>
      <c r="U3004" s="72"/>
      <c r="V3004" s="72"/>
    </row>
    <row r="3005" spans="1:22" s="63" customFormat="1" ht="22.5" x14ac:dyDescent="0.25">
      <c r="A3005" s="84">
        <v>24.167999999999999</v>
      </c>
      <c r="B3005" s="81" t="s">
        <v>88</v>
      </c>
      <c r="C3005" s="80">
        <v>78.400000000000006</v>
      </c>
      <c r="D3005" s="131" t="s">
        <v>2646</v>
      </c>
      <c r="E3005" s="83" t="s">
        <v>4017</v>
      </c>
      <c r="F3005" s="81" t="s">
        <v>1512</v>
      </c>
      <c r="G3005" s="82">
        <v>4</v>
      </c>
      <c r="H3005" s="85"/>
      <c r="I3005" s="86">
        <v>83954.98</v>
      </c>
      <c r="J3005" s="185">
        <f t="shared" si="292"/>
        <v>23897.79</v>
      </c>
      <c r="K3005" s="189">
        <f t="shared" si="293"/>
        <v>95591.16</v>
      </c>
      <c r="L3005" s="189"/>
      <c r="M3005" s="138"/>
      <c r="N3005" s="138"/>
      <c r="O3005" s="138"/>
      <c r="S3005" s="72"/>
      <c r="T3005" s="72"/>
      <c r="U3005" s="72"/>
      <c r="V3005" s="72"/>
    </row>
    <row r="3006" spans="1:22" s="63" customFormat="1" ht="22.5" x14ac:dyDescent="0.25">
      <c r="A3006" s="84">
        <v>24.169</v>
      </c>
      <c r="B3006" s="81" t="s">
        <v>88</v>
      </c>
      <c r="C3006" s="80">
        <v>78.5</v>
      </c>
      <c r="D3006" s="131" t="s">
        <v>2647</v>
      </c>
      <c r="E3006" s="83" t="s">
        <v>4018</v>
      </c>
      <c r="F3006" s="81" t="s">
        <v>1512</v>
      </c>
      <c r="G3006" s="82">
        <v>8</v>
      </c>
      <c r="H3006" s="85"/>
      <c r="I3006" s="86">
        <v>215844.03</v>
      </c>
      <c r="J3006" s="185">
        <f t="shared" si="292"/>
        <v>30720</v>
      </c>
      <c r="K3006" s="189">
        <f t="shared" si="293"/>
        <v>245760</v>
      </c>
      <c r="L3006" s="189"/>
      <c r="M3006" s="138"/>
      <c r="N3006" s="138"/>
      <c r="O3006" s="138"/>
      <c r="S3006" s="72"/>
      <c r="T3006" s="72"/>
      <c r="U3006" s="72"/>
      <c r="V3006" s="72"/>
    </row>
    <row r="3007" spans="1:22" s="63" customFormat="1" ht="22.5" x14ac:dyDescent="0.25">
      <c r="A3007" s="84">
        <v>24.17</v>
      </c>
      <c r="B3007" s="81" t="s">
        <v>88</v>
      </c>
      <c r="C3007" s="80">
        <v>78.599999999999994</v>
      </c>
      <c r="D3007" s="131" t="s">
        <v>2648</v>
      </c>
      <c r="E3007" s="83" t="s">
        <v>4019</v>
      </c>
      <c r="F3007" s="81" t="s">
        <v>1512</v>
      </c>
      <c r="G3007" s="82">
        <v>4</v>
      </c>
      <c r="H3007" s="85"/>
      <c r="I3007" s="86">
        <v>128770.3</v>
      </c>
      <c r="J3007" s="185">
        <f t="shared" si="292"/>
        <v>36654.47</v>
      </c>
      <c r="K3007" s="189">
        <f t="shared" si="293"/>
        <v>146617.88</v>
      </c>
      <c r="L3007" s="189"/>
      <c r="M3007" s="138"/>
      <c r="N3007" s="138"/>
      <c r="O3007" s="138"/>
      <c r="S3007" s="72"/>
      <c r="T3007" s="72"/>
      <c r="U3007" s="72"/>
      <c r="V3007" s="72"/>
    </row>
    <row r="3008" spans="1:22" s="63" customFormat="1" ht="22.5" x14ac:dyDescent="0.25">
      <c r="A3008" s="84">
        <v>24.170999999999999</v>
      </c>
      <c r="B3008" s="81" t="s">
        <v>88</v>
      </c>
      <c r="C3008" s="80">
        <v>78.7</v>
      </c>
      <c r="D3008" s="131" t="s">
        <v>2649</v>
      </c>
      <c r="E3008" s="83" t="s">
        <v>4020</v>
      </c>
      <c r="F3008" s="81" t="s">
        <v>1512</v>
      </c>
      <c r="G3008" s="82">
        <v>4</v>
      </c>
      <c r="H3008" s="85"/>
      <c r="I3008" s="86">
        <v>83957.03</v>
      </c>
      <c r="J3008" s="185">
        <f t="shared" si="292"/>
        <v>23898.37</v>
      </c>
      <c r="K3008" s="189">
        <f t="shared" si="293"/>
        <v>95593.48</v>
      </c>
      <c r="L3008" s="189"/>
      <c r="M3008" s="138"/>
      <c r="N3008" s="138"/>
      <c r="O3008" s="138"/>
      <c r="S3008" s="72"/>
      <c r="T3008" s="72"/>
      <c r="U3008" s="72"/>
      <c r="V3008" s="72"/>
    </row>
    <row r="3009" spans="1:22" s="63" customFormat="1" ht="22.5" x14ac:dyDescent="0.25">
      <c r="A3009" s="84">
        <v>24.172000000000001</v>
      </c>
      <c r="B3009" s="81" t="s">
        <v>88</v>
      </c>
      <c r="C3009" s="80">
        <v>78.8</v>
      </c>
      <c r="D3009" s="131" t="s">
        <v>2607</v>
      </c>
      <c r="E3009" s="83" t="s">
        <v>4028</v>
      </c>
      <c r="F3009" s="81" t="s">
        <v>1512</v>
      </c>
      <c r="G3009" s="82">
        <v>4</v>
      </c>
      <c r="H3009" s="85"/>
      <c r="I3009" s="86">
        <v>35727.17</v>
      </c>
      <c r="J3009" s="185">
        <f t="shared" si="292"/>
        <v>10169.74</v>
      </c>
      <c r="K3009" s="189">
        <f t="shared" si="293"/>
        <v>40678.959999999999</v>
      </c>
      <c r="L3009" s="189"/>
      <c r="M3009" s="138"/>
      <c r="N3009" s="138"/>
      <c r="O3009" s="138"/>
      <c r="S3009" s="72"/>
      <c r="T3009" s="72"/>
      <c r="U3009" s="72"/>
      <c r="V3009" s="72"/>
    </row>
    <row r="3010" spans="1:22" s="63" customFormat="1" ht="22.5" x14ac:dyDescent="0.25">
      <c r="A3010" s="84">
        <v>24.172999999999998</v>
      </c>
      <c r="B3010" s="81" t="s">
        <v>88</v>
      </c>
      <c r="C3010" s="80">
        <v>78.900000000000006</v>
      </c>
      <c r="D3010" s="131" t="s">
        <v>2609</v>
      </c>
      <c r="E3010" s="83" t="s">
        <v>2610</v>
      </c>
      <c r="F3010" s="81" t="s">
        <v>219</v>
      </c>
      <c r="G3010" s="82">
        <v>8</v>
      </c>
      <c r="H3010" s="85"/>
      <c r="I3010" s="86">
        <v>4556.51</v>
      </c>
      <c r="J3010" s="185">
        <f t="shared" si="292"/>
        <v>648.51</v>
      </c>
      <c r="K3010" s="189">
        <f t="shared" si="293"/>
        <v>5188.08</v>
      </c>
      <c r="L3010" s="189"/>
      <c r="M3010" s="138"/>
      <c r="N3010" s="138"/>
      <c r="O3010" s="138"/>
      <c r="S3010" s="72"/>
      <c r="T3010" s="72"/>
      <c r="U3010" s="72"/>
      <c r="V3010" s="72"/>
    </row>
    <row r="3011" spans="1:22" s="63" customFormat="1" ht="22.5" x14ac:dyDescent="0.25">
      <c r="A3011" s="84">
        <v>24.173999999999999</v>
      </c>
      <c r="B3011" s="81" t="s">
        <v>88</v>
      </c>
      <c r="C3011" s="87">
        <v>78.099999999999994</v>
      </c>
      <c r="D3011" s="131" t="s">
        <v>2617</v>
      </c>
      <c r="E3011" s="83" t="s">
        <v>2618</v>
      </c>
      <c r="F3011" s="81" t="s">
        <v>219</v>
      </c>
      <c r="G3011" s="82">
        <v>4</v>
      </c>
      <c r="H3011" s="85"/>
      <c r="I3011" s="86">
        <v>16487.32</v>
      </c>
      <c r="J3011" s="185">
        <f t="shared" si="292"/>
        <v>4693.12</v>
      </c>
      <c r="K3011" s="189">
        <f t="shared" si="293"/>
        <v>18772.48</v>
      </c>
      <c r="L3011" s="189"/>
      <c r="M3011" s="138"/>
      <c r="N3011" s="138"/>
      <c r="O3011" s="138"/>
      <c r="S3011" s="72"/>
      <c r="T3011" s="72"/>
      <c r="U3011" s="72"/>
      <c r="V3011" s="72"/>
    </row>
    <row r="3012" spans="1:22" s="63" customFormat="1" ht="22.5" x14ac:dyDescent="0.25">
      <c r="A3012" s="84">
        <v>24.175000000000001</v>
      </c>
      <c r="B3012" s="81" t="s">
        <v>88</v>
      </c>
      <c r="C3012" s="82">
        <v>79</v>
      </c>
      <c r="D3012" s="131" t="s">
        <v>2624</v>
      </c>
      <c r="E3012" s="83" t="s">
        <v>2625</v>
      </c>
      <c r="F3012" s="81" t="s">
        <v>207</v>
      </c>
      <c r="G3012" s="84">
        <v>0.84199999999999997</v>
      </c>
      <c r="H3012" s="85"/>
      <c r="I3012" s="86">
        <v>28729.29</v>
      </c>
      <c r="J3012" s="185">
        <f t="shared" si="292"/>
        <v>38849.370000000003</v>
      </c>
      <c r="K3012" s="189">
        <f t="shared" si="293"/>
        <v>32711.17</v>
      </c>
      <c r="L3012" s="189"/>
      <c r="M3012" s="138"/>
      <c r="N3012" s="138"/>
      <c r="O3012" s="138"/>
      <c r="S3012" s="72"/>
      <c r="T3012" s="72"/>
      <c r="U3012" s="72"/>
      <c r="V3012" s="72"/>
    </row>
    <row r="3013" spans="1:22" s="63" customFormat="1" ht="15" x14ac:dyDescent="0.25">
      <c r="A3013" s="84"/>
      <c r="B3013" s="81"/>
      <c r="C3013" s="82"/>
      <c r="D3013" s="131"/>
      <c r="E3013" s="126" t="s">
        <v>3392</v>
      </c>
      <c r="F3013" s="81"/>
      <c r="G3013" s="84"/>
      <c r="H3013" s="85"/>
      <c r="I3013" s="86"/>
      <c r="J3013" s="185"/>
      <c r="K3013" s="189"/>
      <c r="L3013" s="189"/>
      <c r="M3013" s="138"/>
      <c r="N3013" s="138"/>
      <c r="O3013" s="138"/>
      <c r="S3013" s="72"/>
      <c r="T3013" s="72"/>
      <c r="U3013" s="72"/>
      <c r="V3013" s="72"/>
    </row>
    <row r="3014" spans="1:22" s="63" customFormat="1" ht="22.5" x14ac:dyDescent="0.25">
      <c r="A3014" s="84">
        <v>24.175999999999998</v>
      </c>
      <c r="B3014" s="81" t="s">
        <v>88</v>
      </c>
      <c r="C3014" s="82">
        <v>80</v>
      </c>
      <c r="D3014" s="131" t="s">
        <v>2638</v>
      </c>
      <c r="E3014" s="83" t="s">
        <v>2639</v>
      </c>
      <c r="F3014" s="81" t="s">
        <v>193</v>
      </c>
      <c r="G3014" s="90">
        <v>4.1671E-2</v>
      </c>
      <c r="H3014" s="85"/>
      <c r="I3014" s="86">
        <v>3973.94</v>
      </c>
      <c r="J3014" s="185">
        <f t="shared" ref="J3014:J3035" si="294">ROUND($I3014/$G3014*$N$11,2)</f>
        <v>108582.18</v>
      </c>
      <c r="K3014" s="189">
        <f t="shared" ref="K3014:K3035" si="295">ROUND(G3014*J3014,2)</f>
        <v>4524.7299999999996</v>
      </c>
      <c r="L3014" s="189"/>
      <c r="M3014" s="138"/>
      <c r="N3014" s="138"/>
      <c r="O3014" s="138"/>
      <c r="S3014" s="72"/>
      <c r="T3014" s="72"/>
      <c r="U3014" s="72"/>
      <c r="V3014" s="72"/>
    </row>
    <row r="3015" spans="1:22" s="63" customFormat="1" ht="22.5" x14ac:dyDescent="0.25">
      <c r="A3015" s="84">
        <v>24.177</v>
      </c>
      <c r="B3015" s="81" t="s">
        <v>88</v>
      </c>
      <c r="C3015" s="82">
        <v>81</v>
      </c>
      <c r="D3015" s="131" t="s">
        <v>2553</v>
      </c>
      <c r="E3015" s="83" t="s">
        <v>2554</v>
      </c>
      <c r="F3015" s="81" t="s">
        <v>196</v>
      </c>
      <c r="G3015" s="90">
        <v>1.2888E-2</v>
      </c>
      <c r="H3015" s="85"/>
      <c r="I3015" s="86">
        <v>2379.63</v>
      </c>
      <c r="J3015" s="185">
        <f t="shared" si="294"/>
        <v>210230.19</v>
      </c>
      <c r="K3015" s="189">
        <f t="shared" si="295"/>
        <v>2709.45</v>
      </c>
      <c r="L3015" s="189"/>
      <c r="M3015" s="138"/>
      <c r="N3015" s="138"/>
      <c r="O3015" s="138"/>
      <c r="S3015" s="72"/>
      <c r="T3015" s="72"/>
      <c r="U3015" s="72"/>
      <c r="V3015" s="72"/>
    </row>
    <row r="3016" spans="1:22" s="63" customFormat="1" ht="15" x14ac:dyDescent="0.25">
      <c r="A3016" s="84">
        <v>24.178000000000001</v>
      </c>
      <c r="B3016" s="81" t="s">
        <v>88</v>
      </c>
      <c r="C3016" s="82">
        <v>82</v>
      </c>
      <c r="D3016" s="131" t="s">
        <v>2340</v>
      </c>
      <c r="E3016" s="83" t="s">
        <v>2341</v>
      </c>
      <c r="F3016" s="81" t="s">
        <v>319</v>
      </c>
      <c r="G3016" s="84">
        <v>6.2E-2</v>
      </c>
      <c r="H3016" s="85"/>
      <c r="I3016" s="86">
        <v>671.37</v>
      </c>
      <c r="J3016" s="185">
        <f t="shared" si="294"/>
        <v>12329.39</v>
      </c>
      <c r="K3016" s="189">
        <f t="shared" si="295"/>
        <v>764.42</v>
      </c>
      <c r="L3016" s="189"/>
      <c r="M3016" s="138"/>
      <c r="N3016" s="138"/>
      <c r="O3016" s="138"/>
      <c r="S3016" s="72"/>
      <c r="T3016" s="72"/>
      <c r="U3016" s="72"/>
      <c r="V3016" s="72"/>
    </row>
    <row r="3017" spans="1:22" s="63" customFormat="1" ht="22.5" x14ac:dyDescent="0.25">
      <c r="A3017" s="84">
        <v>24.178999999999998</v>
      </c>
      <c r="B3017" s="81" t="s">
        <v>88</v>
      </c>
      <c r="C3017" s="80">
        <v>82.1</v>
      </c>
      <c r="D3017" s="131" t="s">
        <v>2426</v>
      </c>
      <c r="E3017" s="83" t="s">
        <v>2427</v>
      </c>
      <c r="F3017" s="81" t="s">
        <v>205</v>
      </c>
      <c r="G3017" s="84">
        <v>0.68200000000000005</v>
      </c>
      <c r="H3017" s="85"/>
      <c r="I3017" s="86">
        <v>214.19</v>
      </c>
      <c r="J3017" s="185">
        <f t="shared" si="294"/>
        <v>357.59</v>
      </c>
      <c r="K3017" s="189">
        <f t="shared" si="295"/>
        <v>243.88</v>
      </c>
      <c r="L3017" s="189"/>
      <c r="M3017" s="138"/>
      <c r="N3017" s="138"/>
      <c r="O3017" s="138"/>
      <c r="S3017" s="72"/>
      <c r="T3017" s="72"/>
      <c r="U3017" s="72"/>
      <c r="V3017" s="72"/>
    </row>
    <row r="3018" spans="1:22" s="63" customFormat="1" ht="22.5" x14ac:dyDescent="0.25">
      <c r="A3018" s="84">
        <v>24.18</v>
      </c>
      <c r="B3018" s="81" t="s">
        <v>88</v>
      </c>
      <c r="C3018" s="82">
        <v>83</v>
      </c>
      <c r="D3018" s="131" t="s">
        <v>2627</v>
      </c>
      <c r="E3018" s="83" t="s">
        <v>2628</v>
      </c>
      <c r="F3018" s="81" t="s">
        <v>193</v>
      </c>
      <c r="G3018" s="89">
        <v>3.2809999999999999E-2</v>
      </c>
      <c r="H3018" s="85"/>
      <c r="I3018" s="86">
        <v>261</v>
      </c>
      <c r="J3018" s="185">
        <f t="shared" si="294"/>
        <v>9057.44</v>
      </c>
      <c r="K3018" s="189">
        <f t="shared" si="295"/>
        <v>297.17</v>
      </c>
      <c r="L3018" s="189"/>
      <c r="M3018" s="138"/>
      <c r="N3018" s="138"/>
      <c r="O3018" s="138"/>
      <c r="S3018" s="72"/>
      <c r="T3018" s="72"/>
      <c r="U3018" s="72"/>
      <c r="V3018" s="72"/>
    </row>
    <row r="3019" spans="1:22" s="63" customFormat="1" ht="15" x14ac:dyDescent="0.25">
      <c r="A3019" s="84">
        <v>24.181000000000001</v>
      </c>
      <c r="B3019" s="81" t="s">
        <v>88</v>
      </c>
      <c r="C3019" s="82">
        <v>84</v>
      </c>
      <c r="D3019" s="131" t="s">
        <v>201</v>
      </c>
      <c r="E3019" s="83" t="s">
        <v>202</v>
      </c>
      <c r="F3019" s="81" t="s">
        <v>196</v>
      </c>
      <c r="G3019" s="88">
        <v>0.3281</v>
      </c>
      <c r="H3019" s="85"/>
      <c r="I3019" s="86">
        <v>5357.23</v>
      </c>
      <c r="J3019" s="185">
        <f t="shared" si="294"/>
        <v>18591.11</v>
      </c>
      <c r="K3019" s="189">
        <f t="shared" si="295"/>
        <v>6099.74</v>
      </c>
      <c r="L3019" s="189"/>
      <c r="M3019" s="138"/>
      <c r="N3019" s="138"/>
      <c r="O3019" s="138"/>
      <c r="S3019" s="72"/>
      <c r="T3019" s="72"/>
      <c r="U3019" s="72"/>
      <c r="V3019" s="72"/>
    </row>
    <row r="3020" spans="1:22" s="63" customFormat="1" ht="15" x14ac:dyDescent="0.25">
      <c r="A3020" s="84">
        <v>24.181999999999999</v>
      </c>
      <c r="B3020" s="81" t="s">
        <v>88</v>
      </c>
      <c r="C3020" s="82">
        <v>85</v>
      </c>
      <c r="D3020" s="131" t="s">
        <v>2629</v>
      </c>
      <c r="E3020" s="83" t="s">
        <v>2630</v>
      </c>
      <c r="F3020" s="81" t="s">
        <v>319</v>
      </c>
      <c r="G3020" s="84">
        <v>0.27700000000000002</v>
      </c>
      <c r="H3020" s="85"/>
      <c r="I3020" s="86">
        <v>64315.65</v>
      </c>
      <c r="J3020" s="185">
        <f t="shared" si="294"/>
        <v>264367.51</v>
      </c>
      <c r="K3020" s="189">
        <f t="shared" si="295"/>
        <v>73229.8</v>
      </c>
      <c r="L3020" s="189"/>
      <c r="M3020" s="138"/>
      <c r="N3020" s="138"/>
      <c r="O3020" s="138"/>
      <c r="S3020" s="72"/>
      <c r="T3020" s="72"/>
      <c r="U3020" s="72"/>
      <c r="V3020" s="72"/>
    </row>
    <row r="3021" spans="1:22" s="63" customFormat="1" ht="22.5" x14ac:dyDescent="0.25">
      <c r="A3021" s="84">
        <v>24.183</v>
      </c>
      <c r="B3021" s="81" t="s">
        <v>88</v>
      </c>
      <c r="C3021" s="80">
        <v>85.1</v>
      </c>
      <c r="D3021" s="131" t="s">
        <v>2592</v>
      </c>
      <c r="E3021" s="83" t="s">
        <v>2593</v>
      </c>
      <c r="F3021" s="81" t="s">
        <v>205</v>
      </c>
      <c r="G3021" s="89">
        <v>-1.09415</v>
      </c>
      <c r="H3021" s="85"/>
      <c r="I3021" s="86">
        <v>-11009.78</v>
      </c>
      <c r="J3021" s="185">
        <f t="shared" si="294"/>
        <v>11457.05</v>
      </c>
      <c r="K3021" s="189">
        <f t="shared" si="295"/>
        <v>-12535.73</v>
      </c>
      <c r="L3021" s="189"/>
      <c r="M3021" s="138"/>
      <c r="N3021" s="138"/>
      <c r="O3021" s="138"/>
      <c r="S3021" s="72"/>
      <c r="T3021" s="72"/>
      <c r="U3021" s="72"/>
      <c r="V3021" s="72"/>
    </row>
    <row r="3022" spans="1:22" s="63" customFormat="1" ht="22.5" x14ac:dyDescent="0.25">
      <c r="A3022" s="84">
        <v>24.184000000000001</v>
      </c>
      <c r="B3022" s="81" t="s">
        <v>88</v>
      </c>
      <c r="C3022" s="80">
        <v>85.2</v>
      </c>
      <c r="D3022" s="131" t="s">
        <v>590</v>
      </c>
      <c r="E3022" s="83" t="s">
        <v>591</v>
      </c>
      <c r="F3022" s="81" t="s">
        <v>205</v>
      </c>
      <c r="G3022" s="88">
        <v>2.7699999999999999E-2</v>
      </c>
      <c r="H3022" s="85"/>
      <c r="I3022" s="86">
        <v>85.6</v>
      </c>
      <c r="J3022" s="185">
        <f t="shared" si="294"/>
        <v>3518.56</v>
      </c>
      <c r="K3022" s="189">
        <f t="shared" si="295"/>
        <v>97.46</v>
      </c>
      <c r="L3022" s="189"/>
      <c r="M3022" s="138"/>
      <c r="N3022" s="138"/>
      <c r="O3022" s="138"/>
      <c r="S3022" s="72"/>
      <c r="T3022" s="72"/>
      <c r="U3022" s="72"/>
      <c r="V3022" s="72"/>
    </row>
    <row r="3023" spans="1:22" s="63" customFormat="1" ht="22.5" x14ac:dyDescent="0.25">
      <c r="A3023" s="84">
        <v>24.184999999999999</v>
      </c>
      <c r="B3023" s="81" t="s">
        <v>88</v>
      </c>
      <c r="C3023" s="80">
        <v>85.3</v>
      </c>
      <c r="D3023" s="131" t="s">
        <v>2631</v>
      </c>
      <c r="E3023" s="83" t="s">
        <v>2632</v>
      </c>
      <c r="F3023" s="81" t="s">
        <v>205</v>
      </c>
      <c r="G3023" s="89">
        <v>0.62602000000000002</v>
      </c>
      <c r="H3023" s="85"/>
      <c r="I3023" s="86">
        <v>655.61</v>
      </c>
      <c r="J3023" s="185">
        <f t="shared" si="294"/>
        <v>1192.42</v>
      </c>
      <c r="K3023" s="189">
        <f t="shared" si="295"/>
        <v>746.48</v>
      </c>
      <c r="L3023" s="189"/>
      <c r="M3023" s="138"/>
      <c r="N3023" s="138"/>
      <c r="O3023" s="138"/>
      <c r="S3023" s="72"/>
      <c r="T3023" s="72"/>
      <c r="U3023" s="72"/>
      <c r="V3023" s="72"/>
    </row>
    <row r="3024" spans="1:22" s="63" customFormat="1" ht="22.5" x14ac:dyDescent="0.25">
      <c r="A3024" s="84">
        <v>24.186</v>
      </c>
      <c r="B3024" s="81" t="s">
        <v>88</v>
      </c>
      <c r="C3024" s="80">
        <v>85.4</v>
      </c>
      <c r="D3024" s="131" t="s">
        <v>2646</v>
      </c>
      <c r="E3024" s="83" t="s">
        <v>4017</v>
      </c>
      <c r="F3024" s="81" t="s">
        <v>1512</v>
      </c>
      <c r="G3024" s="82">
        <v>2</v>
      </c>
      <c r="H3024" s="85"/>
      <c r="I3024" s="86">
        <v>41977.45</v>
      </c>
      <c r="J3024" s="185">
        <f t="shared" si="294"/>
        <v>23897.759999999998</v>
      </c>
      <c r="K3024" s="189">
        <f t="shared" si="295"/>
        <v>47795.519999999997</v>
      </c>
      <c r="L3024" s="189"/>
      <c r="M3024" s="138"/>
      <c r="N3024" s="138"/>
      <c r="O3024" s="138"/>
      <c r="S3024" s="72"/>
      <c r="T3024" s="72"/>
      <c r="U3024" s="72"/>
      <c r="V3024" s="72"/>
    </row>
    <row r="3025" spans="1:22" s="63" customFormat="1" ht="22.5" x14ac:dyDescent="0.25">
      <c r="A3025" s="84">
        <v>24.187000000000001</v>
      </c>
      <c r="B3025" s="81" t="s">
        <v>88</v>
      </c>
      <c r="C3025" s="80">
        <v>85.5</v>
      </c>
      <c r="D3025" s="131" t="s">
        <v>2647</v>
      </c>
      <c r="E3025" s="83" t="s">
        <v>4018</v>
      </c>
      <c r="F3025" s="81" t="s">
        <v>1512</v>
      </c>
      <c r="G3025" s="82">
        <v>2</v>
      </c>
      <c r="H3025" s="85"/>
      <c r="I3025" s="86">
        <v>53961.01</v>
      </c>
      <c r="J3025" s="185">
        <f t="shared" si="294"/>
        <v>30720</v>
      </c>
      <c r="K3025" s="189">
        <f t="shared" si="295"/>
        <v>61440</v>
      </c>
      <c r="L3025" s="189"/>
      <c r="M3025" s="138"/>
      <c r="N3025" s="138"/>
      <c r="O3025" s="138"/>
      <c r="S3025" s="72"/>
      <c r="T3025" s="72"/>
      <c r="U3025" s="72"/>
      <c r="V3025" s="72"/>
    </row>
    <row r="3026" spans="1:22" s="63" customFormat="1" ht="22.5" x14ac:dyDescent="0.25">
      <c r="A3026" s="84">
        <v>24.187999999999999</v>
      </c>
      <c r="B3026" s="81" t="s">
        <v>88</v>
      </c>
      <c r="C3026" s="80">
        <v>85.6</v>
      </c>
      <c r="D3026" s="131" t="s">
        <v>2648</v>
      </c>
      <c r="E3026" s="83" t="s">
        <v>4019</v>
      </c>
      <c r="F3026" s="81" t="s">
        <v>1512</v>
      </c>
      <c r="G3026" s="82">
        <v>2</v>
      </c>
      <c r="H3026" s="85"/>
      <c r="I3026" s="86">
        <v>64385.15</v>
      </c>
      <c r="J3026" s="185">
        <f t="shared" si="294"/>
        <v>36654.47</v>
      </c>
      <c r="K3026" s="189">
        <f t="shared" si="295"/>
        <v>73308.94</v>
      </c>
      <c r="L3026" s="189"/>
      <c r="M3026" s="138"/>
      <c r="N3026" s="138"/>
      <c r="O3026" s="138"/>
      <c r="S3026" s="72"/>
      <c r="T3026" s="72"/>
      <c r="U3026" s="72"/>
      <c r="V3026" s="72"/>
    </row>
    <row r="3027" spans="1:22" s="63" customFormat="1" ht="22.5" x14ac:dyDescent="0.25">
      <c r="A3027" s="84">
        <v>24.189</v>
      </c>
      <c r="B3027" s="81" t="s">
        <v>88</v>
      </c>
      <c r="C3027" s="80">
        <v>85.7</v>
      </c>
      <c r="D3027" s="131" t="s">
        <v>2649</v>
      </c>
      <c r="E3027" s="83" t="s">
        <v>4046</v>
      </c>
      <c r="F3027" s="81" t="s">
        <v>1512</v>
      </c>
      <c r="G3027" s="82">
        <v>2</v>
      </c>
      <c r="H3027" s="85"/>
      <c r="I3027" s="86">
        <v>41978.51</v>
      </c>
      <c r="J3027" s="185">
        <f t="shared" si="294"/>
        <v>23898.37</v>
      </c>
      <c r="K3027" s="189">
        <f t="shared" si="295"/>
        <v>47796.74</v>
      </c>
      <c r="L3027" s="189"/>
      <c r="M3027" s="138"/>
      <c r="N3027" s="138"/>
      <c r="O3027" s="138"/>
      <c r="S3027" s="72"/>
      <c r="T3027" s="72"/>
      <c r="U3027" s="72"/>
      <c r="V3027" s="72"/>
    </row>
    <row r="3028" spans="1:22" s="63" customFormat="1" ht="22.5" x14ac:dyDescent="0.25">
      <c r="A3028" s="84">
        <v>24.19</v>
      </c>
      <c r="B3028" s="81" t="s">
        <v>88</v>
      </c>
      <c r="C3028" s="80">
        <v>85.8</v>
      </c>
      <c r="D3028" s="131" t="s">
        <v>2607</v>
      </c>
      <c r="E3028" s="83" t="s">
        <v>4028</v>
      </c>
      <c r="F3028" s="81" t="s">
        <v>1512</v>
      </c>
      <c r="G3028" s="82">
        <v>2</v>
      </c>
      <c r="H3028" s="85"/>
      <c r="I3028" s="86">
        <v>17863.63</v>
      </c>
      <c r="J3028" s="185">
        <f t="shared" si="294"/>
        <v>10169.76</v>
      </c>
      <c r="K3028" s="189">
        <f t="shared" si="295"/>
        <v>20339.52</v>
      </c>
      <c r="L3028" s="189"/>
      <c r="M3028" s="138"/>
      <c r="N3028" s="138"/>
      <c r="O3028" s="138"/>
      <c r="S3028" s="72"/>
      <c r="T3028" s="72"/>
      <c r="U3028" s="72"/>
      <c r="V3028" s="72"/>
    </row>
    <row r="3029" spans="1:22" s="63" customFormat="1" ht="22.5" x14ac:dyDescent="0.25">
      <c r="A3029" s="84">
        <v>24.190999999999999</v>
      </c>
      <c r="B3029" s="81" t="s">
        <v>88</v>
      </c>
      <c r="C3029" s="80">
        <v>85.9</v>
      </c>
      <c r="D3029" s="131" t="s">
        <v>2609</v>
      </c>
      <c r="E3029" s="83" t="s">
        <v>2610</v>
      </c>
      <c r="F3029" s="81" t="s">
        <v>219</v>
      </c>
      <c r="G3029" s="82">
        <v>2</v>
      </c>
      <c r="H3029" s="85"/>
      <c r="I3029" s="86">
        <v>1139.1300000000001</v>
      </c>
      <c r="J3029" s="185">
        <f t="shared" si="294"/>
        <v>648.51</v>
      </c>
      <c r="K3029" s="189">
        <f t="shared" si="295"/>
        <v>1297.02</v>
      </c>
      <c r="L3029" s="189"/>
      <c r="M3029" s="138"/>
      <c r="N3029" s="138"/>
      <c r="O3029" s="138"/>
      <c r="S3029" s="72"/>
      <c r="T3029" s="72"/>
      <c r="U3029" s="72"/>
      <c r="V3029" s="72"/>
    </row>
    <row r="3030" spans="1:22" s="63" customFormat="1" ht="22.5" x14ac:dyDescent="0.25">
      <c r="A3030" s="84">
        <v>24.192</v>
      </c>
      <c r="B3030" s="81" t="s">
        <v>88</v>
      </c>
      <c r="C3030" s="87">
        <v>85.1</v>
      </c>
      <c r="D3030" s="131" t="s">
        <v>2619</v>
      </c>
      <c r="E3030" s="83" t="s">
        <v>2620</v>
      </c>
      <c r="F3030" s="81" t="s">
        <v>219</v>
      </c>
      <c r="G3030" s="82">
        <v>2</v>
      </c>
      <c r="H3030" s="85"/>
      <c r="I3030" s="86">
        <v>10408.07</v>
      </c>
      <c r="J3030" s="185">
        <f t="shared" si="294"/>
        <v>5925.31</v>
      </c>
      <c r="K3030" s="189">
        <f t="shared" si="295"/>
        <v>11850.62</v>
      </c>
      <c r="L3030" s="189"/>
      <c r="M3030" s="138"/>
      <c r="N3030" s="138"/>
      <c r="O3030" s="138"/>
      <c r="S3030" s="72"/>
      <c r="T3030" s="72"/>
      <c r="U3030" s="72"/>
      <c r="V3030" s="72"/>
    </row>
    <row r="3031" spans="1:22" s="63" customFormat="1" ht="22.5" x14ac:dyDescent="0.25">
      <c r="A3031" s="84">
        <v>24.193000000000001</v>
      </c>
      <c r="B3031" s="81" t="s">
        <v>88</v>
      </c>
      <c r="C3031" s="82">
        <v>86</v>
      </c>
      <c r="D3031" s="131" t="s">
        <v>2624</v>
      </c>
      <c r="E3031" s="83" t="s">
        <v>2625</v>
      </c>
      <c r="F3031" s="81" t="s">
        <v>207</v>
      </c>
      <c r="G3031" s="88">
        <v>0.31540000000000001</v>
      </c>
      <c r="H3031" s="85"/>
      <c r="I3031" s="86">
        <v>10761.78</v>
      </c>
      <c r="J3031" s="185">
        <f t="shared" si="294"/>
        <v>38850.230000000003</v>
      </c>
      <c r="K3031" s="189">
        <f t="shared" si="295"/>
        <v>12253.36</v>
      </c>
      <c r="L3031" s="189"/>
      <c r="M3031" s="138"/>
      <c r="N3031" s="138"/>
      <c r="O3031" s="138"/>
      <c r="S3031" s="72"/>
      <c r="T3031" s="72"/>
      <c r="U3031" s="72"/>
      <c r="V3031" s="72"/>
    </row>
    <row r="3032" spans="1:22" s="63" customFormat="1" ht="15" x14ac:dyDescent="0.25">
      <c r="A3032" s="84">
        <v>24.193999999999999</v>
      </c>
      <c r="B3032" s="81" t="s">
        <v>88</v>
      </c>
      <c r="C3032" s="80">
        <v>86.1</v>
      </c>
      <c r="D3032" s="131" t="s">
        <v>2621</v>
      </c>
      <c r="E3032" s="83" t="s">
        <v>4023</v>
      </c>
      <c r="F3032" s="81" t="s">
        <v>219</v>
      </c>
      <c r="G3032" s="82">
        <v>70</v>
      </c>
      <c r="H3032" s="85"/>
      <c r="I3032" s="86">
        <v>49543.03</v>
      </c>
      <c r="J3032" s="185">
        <f t="shared" si="294"/>
        <v>805.85</v>
      </c>
      <c r="K3032" s="189">
        <f t="shared" si="295"/>
        <v>56409.5</v>
      </c>
      <c r="L3032" s="189"/>
      <c r="M3032" s="138"/>
      <c r="N3032" s="138"/>
      <c r="O3032" s="138"/>
      <c r="S3032" s="72"/>
      <c r="T3032" s="72"/>
      <c r="U3032" s="72"/>
      <c r="V3032" s="72"/>
    </row>
    <row r="3033" spans="1:22" s="63" customFormat="1" ht="33.75" x14ac:dyDescent="0.25">
      <c r="A3033" s="84">
        <v>24.195</v>
      </c>
      <c r="B3033" s="81" t="s">
        <v>88</v>
      </c>
      <c r="C3033" s="80">
        <v>86.2</v>
      </c>
      <c r="D3033" s="131" t="s">
        <v>2732</v>
      </c>
      <c r="E3033" s="83" t="s">
        <v>2733</v>
      </c>
      <c r="F3033" s="81" t="s">
        <v>334</v>
      </c>
      <c r="G3033" s="80">
        <v>6.5</v>
      </c>
      <c r="H3033" s="85"/>
      <c r="I3033" s="86">
        <v>25277.9</v>
      </c>
      <c r="J3033" s="185">
        <f t="shared" si="294"/>
        <v>4427.91</v>
      </c>
      <c r="K3033" s="189">
        <f t="shared" si="295"/>
        <v>28781.42</v>
      </c>
      <c r="L3033" s="189"/>
      <c r="M3033" s="138"/>
      <c r="N3033" s="138"/>
      <c r="O3033" s="138"/>
      <c r="S3033" s="72"/>
      <c r="T3033" s="72"/>
      <c r="U3033" s="72"/>
      <c r="V3033" s="72"/>
    </row>
    <row r="3034" spans="1:22" s="63" customFormat="1" ht="15" x14ac:dyDescent="0.25">
      <c r="A3034" s="84">
        <v>24.196000000000002</v>
      </c>
      <c r="B3034" s="81" t="s">
        <v>88</v>
      </c>
      <c r="C3034" s="82">
        <v>87</v>
      </c>
      <c r="D3034" s="131" t="s">
        <v>294</v>
      </c>
      <c r="E3034" s="83" t="s">
        <v>2654</v>
      </c>
      <c r="F3034" s="81" t="s">
        <v>196</v>
      </c>
      <c r="G3034" s="84">
        <v>2.9000000000000001E-2</v>
      </c>
      <c r="H3034" s="85"/>
      <c r="I3034" s="86">
        <v>5826.77</v>
      </c>
      <c r="J3034" s="185">
        <f t="shared" si="294"/>
        <v>228771.05</v>
      </c>
      <c r="K3034" s="189">
        <f t="shared" si="295"/>
        <v>6634.36</v>
      </c>
      <c r="L3034" s="189"/>
      <c r="M3034" s="138"/>
      <c r="N3034" s="138"/>
      <c r="O3034" s="138"/>
      <c r="S3034" s="72"/>
      <c r="T3034" s="72"/>
      <c r="U3034" s="72"/>
      <c r="V3034" s="72"/>
    </row>
    <row r="3035" spans="1:22" s="63" customFormat="1" ht="22.5" x14ac:dyDescent="0.25">
      <c r="A3035" s="84">
        <v>24.196999999999999</v>
      </c>
      <c r="B3035" s="81" t="s">
        <v>88</v>
      </c>
      <c r="C3035" s="80">
        <v>87.1</v>
      </c>
      <c r="D3035" s="131" t="s">
        <v>2298</v>
      </c>
      <c r="E3035" s="83" t="s">
        <v>2299</v>
      </c>
      <c r="F3035" s="81" t="s">
        <v>205</v>
      </c>
      <c r="G3035" s="84">
        <v>2.9580000000000002</v>
      </c>
      <c r="H3035" s="85"/>
      <c r="I3035" s="86">
        <v>16256.44</v>
      </c>
      <c r="J3035" s="185">
        <f t="shared" si="294"/>
        <v>6257.47</v>
      </c>
      <c r="K3035" s="189">
        <f t="shared" si="295"/>
        <v>18509.599999999999</v>
      </c>
      <c r="L3035" s="189"/>
      <c r="M3035" s="138"/>
      <c r="N3035" s="138"/>
      <c r="O3035" s="138"/>
      <c r="S3035" s="72"/>
      <c r="T3035" s="72"/>
      <c r="U3035" s="72"/>
      <c r="V3035" s="72"/>
    </row>
    <row r="3036" spans="1:22" s="128" customFormat="1" ht="12.75" x14ac:dyDescent="0.25">
      <c r="A3036" s="242"/>
      <c r="B3036" s="125"/>
      <c r="C3036" s="236"/>
      <c r="D3036" s="77"/>
      <c r="E3036" s="126" t="s">
        <v>3394</v>
      </c>
      <c r="F3036" s="125"/>
      <c r="G3036" s="242"/>
      <c r="H3036" s="127"/>
      <c r="I3036" s="78"/>
      <c r="J3036" s="238"/>
      <c r="K3036" s="239"/>
      <c r="L3036" s="239"/>
      <c r="M3036" s="79"/>
      <c r="N3036" s="79"/>
      <c r="O3036" s="79"/>
      <c r="S3036" s="129"/>
      <c r="T3036" s="129"/>
      <c r="U3036" s="129"/>
      <c r="V3036" s="129"/>
    </row>
    <row r="3037" spans="1:22" s="63" customFormat="1" ht="22.5" x14ac:dyDescent="0.25">
      <c r="A3037" s="84">
        <v>24.198</v>
      </c>
      <c r="B3037" s="81" t="s">
        <v>88</v>
      </c>
      <c r="C3037" s="82">
        <v>88</v>
      </c>
      <c r="D3037" s="131" t="s">
        <v>2638</v>
      </c>
      <c r="E3037" s="83" t="s">
        <v>2639</v>
      </c>
      <c r="F3037" s="81" t="s">
        <v>193</v>
      </c>
      <c r="G3037" s="90">
        <v>0.33523199999999997</v>
      </c>
      <c r="H3037" s="85"/>
      <c r="I3037" s="86">
        <v>31972.240000000002</v>
      </c>
      <c r="J3037" s="185">
        <f t="shared" ref="J3037:J3055" si="296">ROUND($I3037/$G3037*$N$11,2)</f>
        <v>108592.24</v>
      </c>
      <c r="K3037" s="189">
        <f t="shared" ref="K3037:K3055" si="297">ROUND(G3037*J3037,2)</f>
        <v>36403.589999999997</v>
      </c>
      <c r="L3037" s="189"/>
      <c r="M3037" s="138"/>
      <c r="N3037" s="138"/>
      <c r="O3037" s="138"/>
      <c r="S3037" s="72"/>
      <c r="T3037" s="72"/>
      <c r="U3037" s="72"/>
      <c r="V3037" s="72"/>
    </row>
    <row r="3038" spans="1:22" s="63" customFormat="1" ht="22.5" x14ac:dyDescent="0.25">
      <c r="A3038" s="84">
        <v>24.199000000000002</v>
      </c>
      <c r="B3038" s="81" t="s">
        <v>88</v>
      </c>
      <c r="C3038" s="82">
        <v>89</v>
      </c>
      <c r="D3038" s="131" t="s">
        <v>2553</v>
      </c>
      <c r="E3038" s="83" t="s">
        <v>2554</v>
      </c>
      <c r="F3038" s="81" t="s">
        <v>196</v>
      </c>
      <c r="G3038" s="89">
        <v>0.10367999999999999</v>
      </c>
      <c r="H3038" s="85"/>
      <c r="I3038" s="86">
        <v>19141.7</v>
      </c>
      <c r="J3038" s="185">
        <f t="shared" si="296"/>
        <v>210211.61</v>
      </c>
      <c r="K3038" s="189">
        <f t="shared" si="297"/>
        <v>21794.74</v>
      </c>
      <c r="L3038" s="189"/>
      <c r="M3038" s="138"/>
      <c r="N3038" s="138"/>
      <c r="O3038" s="138"/>
      <c r="S3038" s="72"/>
      <c r="T3038" s="72"/>
      <c r="U3038" s="72"/>
      <c r="V3038" s="72"/>
    </row>
    <row r="3039" spans="1:22" s="63" customFormat="1" ht="15" x14ac:dyDescent="0.25">
      <c r="A3039" s="84">
        <v>24.2</v>
      </c>
      <c r="B3039" s="81" t="s">
        <v>88</v>
      </c>
      <c r="C3039" s="82">
        <v>90</v>
      </c>
      <c r="D3039" s="131" t="s">
        <v>2340</v>
      </c>
      <c r="E3039" s="83" t="s">
        <v>2555</v>
      </c>
      <c r="F3039" s="81" t="s">
        <v>319</v>
      </c>
      <c r="G3039" s="87">
        <v>0.36</v>
      </c>
      <c r="H3039" s="85"/>
      <c r="I3039" s="86">
        <v>3899.51</v>
      </c>
      <c r="J3039" s="185">
        <f t="shared" si="296"/>
        <v>12333.28</v>
      </c>
      <c r="K3039" s="189">
        <f t="shared" si="297"/>
        <v>4439.9799999999996</v>
      </c>
      <c r="L3039" s="189"/>
      <c r="M3039" s="138"/>
      <c r="N3039" s="138"/>
      <c r="O3039" s="138"/>
      <c r="S3039" s="72"/>
      <c r="T3039" s="72"/>
      <c r="U3039" s="72"/>
      <c r="V3039" s="72"/>
    </row>
    <row r="3040" spans="1:22" s="63" customFormat="1" ht="33.75" x14ac:dyDescent="0.25">
      <c r="A3040" s="84">
        <v>24.201000000000001</v>
      </c>
      <c r="B3040" s="81" t="s">
        <v>88</v>
      </c>
      <c r="C3040" s="82">
        <v>91</v>
      </c>
      <c r="D3040" s="131" t="s">
        <v>2655</v>
      </c>
      <c r="E3040" s="83" t="s">
        <v>2656</v>
      </c>
      <c r="F3040" s="81" t="s">
        <v>193</v>
      </c>
      <c r="G3040" s="89">
        <v>1.2319999999999999E-2</v>
      </c>
      <c r="H3040" s="85"/>
      <c r="I3040" s="86">
        <v>82.14</v>
      </c>
      <c r="J3040" s="185">
        <f t="shared" si="296"/>
        <v>7591.28</v>
      </c>
      <c r="K3040" s="189">
        <f t="shared" si="297"/>
        <v>93.52</v>
      </c>
      <c r="L3040" s="189"/>
      <c r="M3040" s="138"/>
      <c r="N3040" s="138"/>
      <c r="O3040" s="138"/>
      <c r="S3040" s="72"/>
      <c r="T3040" s="72"/>
      <c r="U3040" s="72"/>
      <c r="V3040" s="72"/>
    </row>
    <row r="3041" spans="1:22" s="63" customFormat="1" ht="22.5" x14ac:dyDescent="0.25">
      <c r="A3041" s="84">
        <v>24.202000000000002</v>
      </c>
      <c r="B3041" s="81" t="s">
        <v>88</v>
      </c>
      <c r="C3041" s="80">
        <v>91.1</v>
      </c>
      <c r="D3041" s="131" t="s">
        <v>2426</v>
      </c>
      <c r="E3041" s="83" t="s">
        <v>2427</v>
      </c>
      <c r="F3041" s="81" t="s">
        <v>205</v>
      </c>
      <c r="G3041" s="84">
        <v>17.512</v>
      </c>
      <c r="H3041" s="85"/>
      <c r="I3041" s="86">
        <v>5500.27</v>
      </c>
      <c r="J3041" s="185">
        <f t="shared" si="296"/>
        <v>357.62</v>
      </c>
      <c r="K3041" s="189">
        <f t="shared" si="297"/>
        <v>6262.64</v>
      </c>
      <c r="L3041" s="189"/>
      <c r="M3041" s="138"/>
      <c r="N3041" s="138"/>
      <c r="O3041" s="138"/>
      <c r="S3041" s="72"/>
      <c r="T3041" s="72"/>
      <c r="U3041" s="72"/>
      <c r="V3041" s="72"/>
    </row>
    <row r="3042" spans="1:22" s="63" customFormat="1" ht="22.5" x14ac:dyDescent="0.25">
      <c r="A3042" s="84">
        <v>24.202999999999999</v>
      </c>
      <c r="B3042" s="81" t="s">
        <v>88</v>
      </c>
      <c r="C3042" s="82">
        <v>92</v>
      </c>
      <c r="D3042" s="131" t="s">
        <v>2627</v>
      </c>
      <c r="E3042" s="83" t="s">
        <v>2628</v>
      </c>
      <c r="F3042" s="81" t="s">
        <v>193</v>
      </c>
      <c r="G3042" s="89">
        <v>0.32967999999999997</v>
      </c>
      <c r="H3042" s="85"/>
      <c r="I3042" s="86">
        <v>2624.69</v>
      </c>
      <c r="J3042" s="185">
        <f t="shared" si="296"/>
        <v>9064.77</v>
      </c>
      <c r="K3042" s="189">
        <f t="shared" si="297"/>
        <v>2988.47</v>
      </c>
      <c r="L3042" s="189"/>
      <c r="M3042" s="138"/>
      <c r="N3042" s="138"/>
      <c r="O3042" s="138"/>
      <c r="S3042" s="72"/>
      <c r="T3042" s="72"/>
      <c r="U3042" s="72"/>
      <c r="V3042" s="72"/>
    </row>
    <row r="3043" spans="1:22" s="63" customFormat="1" ht="15" x14ac:dyDescent="0.25">
      <c r="A3043" s="84">
        <v>24.204000000000001</v>
      </c>
      <c r="B3043" s="81" t="s">
        <v>88</v>
      </c>
      <c r="C3043" s="82">
        <v>93</v>
      </c>
      <c r="D3043" s="131" t="s">
        <v>201</v>
      </c>
      <c r="E3043" s="83" t="s">
        <v>202</v>
      </c>
      <c r="F3043" s="81" t="s">
        <v>196</v>
      </c>
      <c r="G3043" s="88">
        <v>3.2968000000000002</v>
      </c>
      <c r="H3043" s="85"/>
      <c r="I3043" s="86">
        <v>53833.279999999999</v>
      </c>
      <c r="J3043" s="185">
        <f t="shared" si="296"/>
        <v>18592.14</v>
      </c>
      <c r="K3043" s="189">
        <f t="shared" si="297"/>
        <v>61294.57</v>
      </c>
      <c r="L3043" s="189"/>
      <c r="M3043" s="138"/>
      <c r="N3043" s="138"/>
      <c r="O3043" s="138"/>
      <c r="S3043" s="72"/>
      <c r="T3043" s="72"/>
      <c r="U3043" s="72"/>
      <c r="V3043" s="72"/>
    </row>
    <row r="3044" spans="1:22" s="63" customFormat="1" ht="15" x14ac:dyDescent="0.25">
      <c r="A3044" s="84">
        <v>24.204999999999998</v>
      </c>
      <c r="B3044" s="81" t="s">
        <v>88</v>
      </c>
      <c r="C3044" s="82">
        <v>94</v>
      </c>
      <c r="D3044" s="131" t="s">
        <v>2734</v>
      </c>
      <c r="E3044" s="83" t="s">
        <v>2735</v>
      </c>
      <c r="F3044" s="81" t="s">
        <v>2350</v>
      </c>
      <c r="G3044" s="84">
        <v>4.4999999999999998E-2</v>
      </c>
      <c r="H3044" s="85"/>
      <c r="I3044" s="86">
        <v>19395.580000000002</v>
      </c>
      <c r="J3044" s="185">
        <f t="shared" si="296"/>
        <v>490751.28</v>
      </c>
      <c r="K3044" s="189">
        <f t="shared" si="297"/>
        <v>22083.81</v>
      </c>
      <c r="L3044" s="189"/>
      <c r="M3044" s="138"/>
      <c r="N3044" s="138"/>
      <c r="O3044" s="138"/>
      <c r="S3044" s="72"/>
      <c r="T3044" s="72"/>
      <c r="U3044" s="72"/>
      <c r="V3044" s="72"/>
    </row>
    <row r="3045" spans="1:22" s="63" customFormat="1" ht="22.5" x14ac:dyDescent="0.25">
      <c r="A3045" s="84">
        <v>24.206</v>
      </c>
      <c r="B3045" s="81" t="s">
        <v>88</v>
      </c>
      <c r="C3045" s="80">
        <v>94.1</v>
      </c>
      <c r="D3045" s="131" t="s">
        <v>2736</v>
      </c>
      <c r="E3045" s="83" t="s">
        <v>2737</v>
      </c>
      <c r="F3045" s="81" t="s">
        <v>334</v>
      </c>
      <c r="G3045" s="87">
        <v>45.36</v>
      </c>
      <c r="H3045" s="85"/>
      <c r="I3045" s="86">
        <v>128596.87</v>
      </c>
      <c r="J3045" s="185">
        <f t="shared" si="296"/>
        <v>3227.96</v>
      </c>
      <c r="K3045" s="189">
        <f t="shared" si="297"/>
        <v>146420.26999999999</v>
      </c>
      <c r="L3045" s="189"/>
      <c r="M3045" s="138"/>
      <c r="N3045" s="138"/>
      <c r="O3045" s="138"/>
      <c r="S3045" s="72"/>
      <c r="T3045" s="72"/>
      <c r="U3045" s="72"/>
      <c r="V3045" s="72"/>
    </row>
    <row r="3046" spans="1:22" s="63" customFormat="1" ht="22.5" x14ac:dyDescent="0.25">
      <c r="A3046" s="84">
        <v>24.207000000000001</v>
      </c>
      <c r="B3046" s="81" t="s">
        <v>88</v>
      </c>
      <c r="C3046" s="80">
        <v>94.2</v>
      </c>
      <c r="D3046" s="131" t="s">
        <v>2738</v>
      </c>
      <c r="E3046" s="83" t="s">
        <v>4047</v>
      </c>
      <c r="F3046" s="81" t="s">
        <v>219</v>
      </c>
      <c r="G3046" s="82">
        <v>8</v>
      </c>
      <c r="H3046" s="85"/>
      <c r="I3046" s="86">
        <v>11258.15</v>
      </c>
      <c r="J3046" s="185">
        <f t="shared" si="296"/>
        <v>1602.32</v>
      </c>
      <c r="K3046" s="189">
        <f t="shared" si="297"/>
        <v>12818.56</v>
      </c>
      <c r="L3046" s="189"/>
      <c r="M3046" s="138"/>
      <c r="N3046" s="138"/>
      <c r="O3046" s="138"/>
      <c r="S3046" s="72"/>
      <c r="T3046" s="72"/>
      <c r="U3046" s="72"/>
      <c r="V3046" s="72"/>
    </row>
    <row r="3047" spans="1:22" s="63" customFormat="1" ht="22.5" x14ac:dyDescent="0.25">
      <c r="A3047" s="84">
        <v>24.207999999999998</v>
      </c>
      <c r="B3047" s="81" t="s">
        <v>88</v>
      </c>
      <c r="C3047" s="82">
        <v>95</v>
      </c>
      <c r="D3047" s="131" t="s">
        <v>671</v>
      </c>
      <c r="E3047" s="83" t="s">
        <v>672</v>
      </c>
      <c r="F3047" s="81" t="s">
        <v>566</v>
      </c>
      <c r="G3047" s="80">
        <v>2.4</v>
      </c>
      <c r="H3047" s="85"/>
      <c r="I3047" s="86">
        <v>28330.33</v>
      </c>
      <c r="J3047" s="185">
        <f t="shared" si="296"/>
        <v>13440.38</v>
      </c>
      <c r="K3047" s="189">
        <f t="shared" si="297"/>
        <v>32256.91</v>
      </c>
      <c r="L3047" s="189"/>
      <c r="M3047" s="138"/>
      <c r="N3047" s="138"/>
      <c r="O3047" s="138"/>
      <c r="S3047" s="72"/>
      <c r="T3047" s="72"/>
      <c r="U3047" s="72"/>
      <c r="V3047" s="72"/>
    </row>
    <row r="3048" spans="1:22" s="63" customFormat="1" ht="22.5" x14ac:dyDescent="0.25">
      <c r="A3048" s="84">
        <v>24.209</v>
      </c>
      <c r="B3048" s="81" t="s">
        <v>88</v>
      </c>
      <c r="C3048" s="80">
        <v>95.1</v>
      </c>
      <c r="D3048" s="131" t="s">
        <v>2739</v>
      </c>
      <c r="E3048" s="83" t="s">
        <v>2740</v>
      </c>
      <c r="F3048" s="81" t="s">
        <v>219</v>
      </c>
      <c r="G3048" s="82">
        <v>18</v>
      </c>
      <c r="H3048" s="85"/>
      <c r="I3048" s="86">
        <v>19478.099999999999</v>
      </c>
      <c r="J3048" s="185">
        <f t="shared" si="296"/>
        <v>1232.0999999999999</v>
      </c>
      <c r="K3048" s="189">
        <f t="shared" si="297"/>
        <v>22177.8</v>
      </c>
      <c r="L3048" s="189"/>
      <c r="M3048" s="138"/>
      <c r="N3048" s="138"/>
      <c r="O3048" s="138"/>
      <c r="S3048" s="72"/>
      <c r="T3048" s="72"/>
      <c r="U3048" s="72"/>
      <c r="V3048" s="72"/>
    </row>
    <row r="3049" spans="1:22" s="63" customFormat="1" ht="22.5" x14ac:dyDescent="0.25">
      <c r="A3049" s="84">
        <v>24.21</v>
      </c>
      <c r="B3049" s="81" t="s">
        <v>88</v>
      </c>
      <c r="C3049" s="80">
        <v>95.2</v>
      </c>
      <c r="D3049" s="131" t="s">
        <v>2741</v>
      </c>
      <c r="E3049" s="83" t="s">
        <v>4048</v>
      </c>
      <c r="F3049" s="81" t="s">
        <v>219</v>
      </c>
      <c r="G3049" s="82">
        <v>18</v>
      </c>
      <c r="H3049" s="85"/>
      <c r="I3049" s="86">
        <v>16751.68</v>
      </c>
      <c r="J3049" s="185">
        <f t="shared" si="296"/>
        <v>1059.6400000000001</v>
      </c>
      <c r="K3049" s="189">
        <f t="shared" si="297"/>
        <v>19073.52</v>
      </c>
      <c r="L3049" s="189"/>
      <c r="M3049" s="138"/>
      <c r="N3049" s="138"/>
      <c r="O3049" s="138"/>
      <c r="S3049" s="72"/>
      <c r="T3049" s="72"/>
      <c r="U3049" s="72"/>
      <c r="V3049" s="72"/>
    </row>
    <row r="3050" spans="1:22" s="63" customFormat="1" ht="22.5" x14ac:dyDescent="0.25">
      <c r="A3050" s="84">
        <v>24.210999999999999</v>
      </c>
      <c r="B3050" s="81" t="s">
        <v>88</v>
      </c>
      <c r="C3050" s="80">
        <v>95.3</v>
      </c>
      <c r="D3050" s="131" t="s">
        <v>2742</v>
      </c>
      <c r="E3050" s="83" t="s">
        <v>4049</v>
      </c>
      <c r="F3050" s="81" t="s">
        <v>219</v>
      </c>
      <c r="G3050" s="82">
        <v>6</v>
      </c>
      <c r="H3050" s="85"/>
      <c r="I3050" s="86">
        <v>36863.279999999999</v>
      </c>
      <c r="J3050" s="185">
        <f t="shared" si="296"/>
        <v>6995.42</v>
      </c>
      <c r="K3050" s="189">
        <f t="shared" si="297"/>
        <v>41972.52</v>
      </c>
      <c r="L3050" s="189"/>
      <c r="M3050" s="138"/>
      <c r="N3050" s="138"/>
      <c r="O3050" s="138"/>
      <c r="S3050" s="72"/>
      <c r="T3050" s="72"/>
      <c r="U3050" s="72"/>
      <c r="V3050" s="72"/>
    </row>
    <row r="3051" spans="1:22" s="63" customFormat="1" ht="15" x14ac:dyDescent="0.25">
      <c r="A3051" s="84">
        <v>24.212</v>
      </c>
      <c r="B3051" s="81" t="s">
        <v>88</v>
      </c>
      <c r="C3051" s="82">
        <v>96</v>
      </c>
      <c r="D3051" s="131" t="s">
        <v>2743</v>
      </c>
      <c r="E3051" s="83" t="s">
        <v>2744</v>
      </c>
      <c r="F3051" s="81" t="s">
        <v>219</v>
      </c>
      <c r="G3051" s="82">
        <v>4</v>
      </c>
      <c r="H3051" s="85"/>
      <c r="I3051" s="86">
        <v>12644.5</v>
      </c>
      <c r="J3051" s="185">
        <f t="shared" si="296"/>
        <v>3599.26</v>
      </c>
      <c r="K3051" s="189">
        <f t="shared" si="297"/>
        <v>14397.04</v>
      </c>
      <c r="L3051" s="189"/>
      <c r="M3051" s="138"/>
      <c r="N3051" s="138"/>
      <c r="O3051" s="138"/>
      <c r="S3051" s="72"/>
      <c r="T3051" s="72"/>
      <c r="U3051" s="72"/>
      <c r="V3051" s="72"/>
    </row>
    <row r="3052" spans="1:22" s="63" customFormat="1" ht="22.5" x14ac:dyDescent="0.25">
      <c r="A3052" s="84">
        <v>24.213000000000001</v>
      </c>
      <c r="B3052" s="81" t="s">
        <v>88</v>
      </c>
      <c r="C3052" s="80">
        <v>96.1</v>
      </c>
      <c r="D3052" s="131" t="s">
        <v>2745</v>
      </c>
      <c r="E3052" s="83" t="s">
        <v>2746</v>
      </c>
      <c r="F3052" s="81" t="s">
        <v>219</v>
      </c>
      <c r="G3052" s="82">
        <v>4</v>
      </c>
      <c r="H3052" s="85"/>
      <c r="I3052" s="86">
        <v>2313.77</v>
      </c>
      <c r="J3052" s="185">
        <f t="shared" si="296"/>
        <v>658.61</v>
      </c>
      <c r="K3052" s="189">
        <f t="shared" si="297"/>
        <v>2634.44</v>
      </c>
      <c r="L3052" s="189"/>
      <c r="M3052" s="138"/>
      <c r="N3052" s="138"/>
      <c r="O3052" s="138"/>
      <c r="S3052" s="72"/>
      <c r="T3052" s="72"/>
      <c r="U3052" s="72"/>
      <c r="V3052" s="72"/>
    </row>
    <row r="3053" spans="1:22" s="63" customFormat="1" ht="15" x14ac:dyDescent="0.25">
      <c r="A3053" s="84">
        <v>24.213999999999999</v>
      </c>
      <c r="B3053" s="81" t="s">
        <v>88</v>
      </c>
      <c r="C3053" s="82">
        <v>97</v>
      </c>
      <c r="D3053" s="131" t="s">
        <v>2747</v>
      </c>
      <c r="E3053" s="83" t="s">
        <v>2748</v>
      </c>
      <c r="F3053" s="81" t="s">
        <v>219</v>
      </c>
      <c r="G3053" s="82">
        <v>4</v>
      </c>
      <c r="H3053" s="85"/>
      <c r="I3053" s="86">
        <v>14185.66</v>
      </c>
      <c r="J3053" s="185">
        <f t="shared" si="296"/>
        <v>4037.95</v>
      </c>
      <c r="K3053" s="189">
        <f t="shared" si="297"/>
        <v>16151.8</v>
      </c>
      <c r="L3053" s="189"/>
      <c r="M3053" s="138"/>
      <c r="N3053" s="138"/>
      <c r="O3053" s="138"/>
      <c r="S3053" s="72"/>
      <c r="T3053" s="72"/>
      <c r="U3053" s="72"/>
      <c r="V3053" s="72"/>
    </row>
    <row r="3054" spans="1:22" s="63" customFormat="1" ht="22.5" x14ac:dyDescent="0.25">
      <c r="A3054" s="84">
        <v>24.215</v>
      </c>
      <c r="B3054" s="81" t="s">
        <v>88</v>
      </c>
      <c r="C3054" s="80">
        <v>97.1</v>
      </c>
      <c r="D3054" s="131" t="s">
        <v>2749</v>
      </c>
      <c r="E3054" s="83" t="s">
        <v>2750</v>
      </c>
      <c r="F3054" s="81" t="s">
        <v>219</v>
      </c>
      <c r="G3054" s="82">
        <v>4</v>
      </c>
      <c r="H3054" s="85"/>
      <c r="I3054" s="86">
        <v>36416.879999999997</v>
      </c>
      <c r="J3054" s="185">
        <f t="shared" si="296"/>
        <v>10366.06</v>
      </c>
      <c r="K3054" s="189">
        <f t="shared" si="297"/>
        <v>41464.239999999998</v>
      </c>
      <c r="L3054" s="189"/>
      <c r="M3054" s="138"/>
      <c r="N3054" s="138"/>
      <c r="O3054" s="138"/>
      <c r="S3054" s="72"/>
      <c r="T3054" s="72"/>
      <c r="U3054" s="72"/>
      <c r="V3054" s="72"/>
    </row>
    <row r="3055" spans="1:22" s="63" customFormat="1" ht="15" x14ac:dyDescent="0.25">
      <c r="A3055" s="84">
        <v>24.216000000000001</v>
      </c>
      <c r="B3055" s="81" t="s">
        <v>88</v>
      </c>
      <c r="C3055" s="82">
        <v>98</v>
      </c>
      <c r="D3055" s="131" t="s">
        <v>2751</v>
      </c>
      <c r="E3055" s="83" t="s">
        <v>2752</v>
      </c>
      <c r="F3055" s="81" t="s">
        <v>2350</v>
      </c>
      <c r="G3055" s="84">
        <v>4.4999999999999998E-2</v>
      </c>
      <c r="H3055" s="85"/>
      <c r="I3055" s="86">
        <v>3128.3</v>
      </c>
      <c r="J3055" s="185">
        <f t="shared" si="296"/>
        <v>79152.94</v>
      </c>
      <c r="K3055" s="189">
        <f t="shared" si="297"/>
        <v>3561.88</v>
      </c>
      <c r="L3055" s="189"/>
      <c r="M3055" s="138"/>
      <c r="N3055" s="138"/>
      <c r="O3055" s="138"/>
      <c r="S3055" s="72"/>
      <c r="T3055" s="72"/>
      <c r="U3055" s="72"/>
      <c r="V3055" s="72"/>
    </row>
    <row r="3056" spans="1:22" s="128" customFormat="1" ht="12.75" x14ac:dyDescent="0.25">
      <c r="A3056" s="242"/>
      <c r="B3056" s="125"/>
      <c r="C3056" s="76"/>
      <c r="D3056" s="77"/>
      <c r="E3056" s="126" t="s">
        <v>3395</v>
      </c>
      <c r="F3056" s="125"/>
      <c r="G3056" s="242"/>
      <c r="H3056" s="127"/>
      <c r="I3056" s="78"/>
      <c r="J3056" s="238"/>
      <c r="K3056" s="239"/>
      <c r="L3056" s="239"/>
      <c r="M3056" s="79"/>
      <c r="N3056" s="79"/>
      <c r="O3056" s="79"/>
      <c r="S3056" s="129"/>
      <c r="T3056" s="129"/>
      <c r="U3056" s="129"/>
      <c r="V3056" s="129"/>
    </row>
    <row r="3057" spans="1:22" s="63" customFormat="1" ht="22.5" x14ac:dyDescent="0.25">
      <c r="A3057" s="84">
        <v>24.216999999999999</v>
      </c>
      <c r="B3057" s="81" t="s">
        <v>88</v>
      </c>
      <c r="C3057" s="82">
        <v>99</v>
      </c>
      <c r="D3057" s="131" t="s">
        <v>2638</v>
      </c>
      <c r="E3057" s="83" t="s">
        <v>2639</v>
      </c>
      <c r="F3057" s="81" t="s">
        <v>193</v>
      </c>
      <c r="G3057" s="90">
        <v>0.103176</v>
      </c>
      <c r="H3057" s="85"/>
      <c r="I3057" s="86">
        <v>9840.2000000000007</v>
      </c>
      <c r="J3057" s="185">
        <f t="shared" ref="J3057:J3087" si="298">ROUND($I3057/$G3057*$N$11,2)</f>
        <v>108591.65</v>
      </c>
      <c r="K3057" s="189">
        <f t="shared" ref="K3057:K3087" si="299">ROUND(G3057*J3057,2)</f>
        <v>11204.05</v>
      </c>
      <c r="L3057" s="189"/>
      <c r="M3057" s="138"/>
      <c r="N3057" s="138"/>
      <c r="O3057" s="138"/>
      <c r="S3057" s="72"/>
      <c r="T3057" s="72"/>
      <c r="U3057" s="72"/>
      <c r="V3057" s="72"/>
    </row>
    <row r="3058" spans="1:22" s="63" customFormat="1" ht="22.5" x14ac:dyDescent="0.25">
      <c r="A3058" s="84">
        <v>24.218</v>
      </c>
      <c r="B3058" s="81" t="s">
        <v>88</v>
      </c>
      <c r="C3058" s="82">
        <v>100</v>
      </c>
      <c r="D3058" s="131" t="s">
        <v>2753</v>
      </c>
      <c r="E3058" s="83" t="s">
        <v>2754</v>
      </c>
      <c r="F3058" s="81" t="s">
        <v>193</v>
      </c>
      <c r="G3058" s="89">
        <v>0.24551999999999999</v>
      </c>
      <c r="H3058" s="85"/>
      <c r="I3058" s="86">
        <v>35163.31</v>
      </c>
      <c r="J3058" s="185">
        <f t="shared" si="298"/>
        <v>163069.99</v>
      </c>
      <c r="K3058" s="189">
        <f t="shared" si="299"/>
        <v>40036.94</v>
      </c>
      <c r="L3058" s="189"/>
      <c r="M3058" s="138"/>
      <c r="N3058" s="138"/>
      <c r="O3058" s="138"/>
      <c r="S3058" s="72"/>
      <c r="T3058" s="72"/>
      <c r="U3058" s="72"/>
      <c r="V3058" s="72"/>
    </row>
    <row r="3059" spans="1:22" s="63" customFormat="1" ht="22.5" x14ac:dyDescent="0.25">
      <c r="A3059" s="84">
        <v>24.219000000000001</v>
      </c>
      <c r="B3059" s="81" t="s">
        <v>88</v>
      </c>
      <c r="C3059" s="82">
        <v>101</v>
      </c>
      <c r="D3059" s="131" t="s">
        <v>2553</v>
      </c>
      <c r="E3059" s="83" t="s">
        <v>2554</v>
      </c>
      <c r="F3059" s="81" t="s">
        <v>196</v>
      </c>
      <c r="G3059" s="90">
        <v>0.107844</v>
      </c>
      <c r="H3059" s="85"/>
      <c r="I3059" s="86">
        <v>19909.62</v>
      </c>
      <c r="J3059" s="185">
        <f t="shared" si="298"/>
        <v>210202.64</v>
      </c>
      <c r="K3059" s="189">
        <f t="shared" si="299"/>
        <v>22669.09</v>
      </c>
      <c r="L3059" s="189"/>
      <c r="M3059" s="138"/>
      <c r="N3059" s="138"/>
      <c r="O3059" s="138"/>
      <c r="S3059" s="72"/>
      <c r="T3059" s="72"/>
      <c r="U3059" s="72"/>
      <c r="V3059" s="72"/>
    </row>
    <row r="3060" spans="1:22" s="63" customFormat="1" ht="15" x14ac:dyDescent="0.25">
      <c r="A3060" s="84">
        <v>24.22</v>
      </c>
      <c r="B3060" s="81" t="s">
        <v>88</v>
      </c>
      <c r="C3060" s="82">
        <v>102</v>
      </c>
      <c r="D3060" s="131" t="s">
        <v>2340</v>
      </c>
      <c r="E3060" s="83" t="s">
        <v>2555</v>
      </c>
      <c r="F3060" s="81" t="s">
        <v>319</v>
      </c>
      <c r="G3060" s="84">
        <v>0.68799999999999994</v>
      </c>
      <c r="H3060" s="85"/>
      <c r="I3060" s="86">
        <v>7453.11</v>
      </c>
      <c r="J3060" s="185">
        <f t="shared" si="298"/>
        <v>12334.46</v>
      </c>
      <c r="K3060" s="189">
        <f t="shared" si="299"/>
        <v>8486.11</v>
      </c>
      <c r="L3060" s="189"/>
      <c r="M3060" s="138"/>
      <c r="N3060" s="138"/>
      <c r="O3060" s="138"/>
      <c r="S3060" s="72"/>
      <c r="T3060" s="72"/>
      <c r="U3060" s="72"/>
      <c r="V3060" s="72"/>
    </row>
    <row r="3061" spans="1:22" s="63" customFormat="1" ht="33.75" x14ac:dyDescent="0.25">
      <c r="A3061" s="84">
        <v>24.221</v>
      </c>
      <c r="B3061" s="81" t="s">
        <v>88</v>
      </c>
      <c r="C3061" s="82">
        <v>103</v>
      </c>
      <c r="D3061" s="131" t="s">
        <v>2655</v>
      </c>
      <c r="E3061" s="83" t="s">
        <v>2656</v>
      </c>
      <c r="F3061" s="81" t="s">
        <v>193</v>
      </c>
      <c r="G3061" s="89">
        <v>2.946E-2</v>
      </c>
      <c r="H3061" s="85"/>
      <c r="I3061" s="86">
        <v>196.27</v>
      </c>
      <c r="J3061" s="185">
        <f t="shared" si="298"/>
        <v>7585.64</v>
      </c>
      <c r="K3061" s="189">
        <f t="shared" si="299"/>
        <v>223.47</v>
      </c>
      <c r="L3061" s="189"/>
      <c r="M3061" s="138"/>
      <c r="N3061" s="138"/>
      <c r="O3061" s="138"/>
      <c r="S3061" s="72"/>
      <c r="T3061" s="72"/>
      <c r="U3061" s="72"/>
      <c r="V3061" s="72"/>
    </row>
    <row r="3062" spans="1:22" s="63" customFormat="1" ht="22.5" x14ac:dyDescent="0.25">
      <c r="A3062" s="84">
        <v>24.222000000000001</v>
      </c>
      <c r="B3062" s="81" t="s">
        <v>88</v>
      </c>
      <c r="C3062" s="80">
        <v>103.1</v>
      </c>
      <c r="D3062" s="131" t="s">
        <v>2426</v>
      </c>
      <c r="E3062" s="83" t="s">
        <v>2427</v>
      </c>
      <c r="F3062" s="81" t="s">
        <v>205</v>
      </c>
      <c r="G3062" s="84">
        <v>39.973999999999997</v>
      </c>
      <c r="H3062" s="85"/>
      <c r="I3062" s="86">
        <v>12555.25</v>
      </c>
      <c r="J3062" s="185">
        <f t="shared" si="298"/>
        <v>357.62</v>
      </c>
      <c r="K3062" s="189">
        <f t="shared" si="299"/>
        <v>14295.5</v>
      </c>
      <c r="L3062" s="189"/>
      <c r="M3062" s="138"/>
      <c r="N3062" s="138"/>
      <c r="O3062" s="138"/>
      <c r="S3062" s="72"/>
      <c r="T3062" s="72"/>
      <c r="U3062" s="72"/>
      <c r="V3062" s="72"/>
    </row>
    <row r="3063" spans="1:22" s="63" customFormat="1" ht="22.5" x14ac:dyDescent="0.25">
      <c r="A3063" s="84">
        <v>24.222999999999999</v>
      </c>
      <c r="B3063" s="81" t="s">
        <v>88</v>
      </c>
      <c r="C3063" s="82">
        <v>104</v>
      </c>
      <c r="D3063" s="131" t="s">
        <v>2627</v>
      </c>
      <c r="E3063" s="83" t="s">
        <v>2628</v>
      </c>
      <c r="F3063" s="81" t="s">
        <v>193</v>
      </c>
      <c r="G3063" s="89">
        <v>0.32313999999999998</v>
      </c>
      <c r="H3063" s="85"/>
      <c r="I3063" s="86">
        <v>2572.13</v>
      </c>
      <c r="J3063" s="185">
        <f t="shared" si="298"/>
        <v>9063.0300000000007</v>
      </c>
      <c r="K3063" s="189">
        <f t="shared" si="299"/>
        <v>2928.63</v>
      </c>
      <c r="L3063" s="189"/>
      <c r="M3063" s="138"/>
      <c r="N3063" s="138"/>
      <c r="O3063" s="138"/>
      <c r="S3063" s="72"/>
      <c r="T3063" s="72"/>
      <c r="U3063" s="72"/>
      <c r="V3063" s="72"/>
    </row>
    <row r="3064" spans="1:22" s="63" customFormat="1" ht="15" x14ac:dyDescent="0.25">
      <c r="A3064" s="84">
        <v>24.224</v>
      </c>
      <c r="B3064" s="81" t="s">
        <v>88</v>
      </c>
      <c r="C3064" s="82">
        <v>105</v>
      </c>
      <c r="D3064" s="131" t="s">
        <v>201</v>
      </c>
      <c r="E3064" s="83" t="s">
        <v>202</v>
      </c>
      <c r="F3064" s="81" t="s">
        <v>196</v>
      </c>
      <c r="G3064" s="88">
        <v>3.2313999999999998</v>
      </c>
      <c r="H3064" s="85"/>
      <c r="I3064" s="86">
        <v>52764.49</v>
      </c>
      <c r="J3064" s="185">
        <f t="shared" si="298"/>
        <v>18591.830000000002</v>
      </c>
      <c r="K3064" s="189">
        <f t="shared" si="299"/>
        <v>60077.64</v>
      </c>
      <c r="L3064" s="189"/>
      <c r="M3064" s="138"/>
      <c r="N3064" s="138"/>
      <c r="O3064" s="138"/>
      <c r="S3064" s="72"/>
      <c r="T3064" s="72"/>
      <c r="U3064" s="72"/>
      <c r="V3064" s="72"/>
    </row>
    <row r="3065" spans="1:22" s="63" customFormat="1" ht="22.5" x14ac:dyDescent="0.25">
      <c r="A3065" s="84">
        <v>24.225000000000001</v>
      </c>
      <c r="B3065" s="81" t="s">
        <v>88</v>
      </c>
      <c r="C3065" s="82">
        <v>106</v>
      </c>
      <c r="D3065" s="131" t="s">
        <v>2422</v>
      </c>
      <c r="E3065" s="83" t="s">
        <v>2423</v>
      </c>
      <c r="F3065" s="81" t="s">
        <v>2321</v>
      </c>
      <c r="G3065" s="87">
        <v>429.66</v>
      </c>
      <c r="H3065" s="85"/>
      <c r="I3065" s="86">
        <v>17229.87</v>
      </c>
      <c r="J3065" s="185">
        <f t="shared" si="298"/>
        <v>45.66</v>
      </c>
      <c r="K3065" s="189">
        <f t="shared" si="299"/>
        <v>19618.28</v>
      </c>
      <c r="L3065" s="189"/>
      <c r="M3065" s="138"/>
      <c r="N3065" s="138"/>
      <c r="O3065" s="138"/>
      <c r="S3065" s="72"/>
      <c r="T3065" s="72"/>
      <c r="U3065" s="72"/>
      <c r="V3065" s="72"/>
    </row>
    <row r="3066" spans="1:22" s="63" customFormat="1" ht="15" x14ac:dyDescent="0.25">
      <c r="A3066" s="84">
        <v>24.225999999999999</v>
      </c>
      <c r="B3066" s="81" t="s">
        <v>88</v>
      </c>
      <c r="C3066" s="82">
        <v>107</v>
      </c>
      <c r="D3066" s="131" t="s">
        <v>2755</v>
      </c>
      <c r="E3066" s="83" t="s">
        <v>2756</v>
      </c>
      <c r="F3066" s="81" t="s">
        <v>2350</v>
      </c>
      <c r="G3066" s="84">
        <v>6.0000000000000001E-3</v>
      </c>
      <c r="H3066" s="85"/>
      <c r="I3066" s="86">
        <v>4293.32</v>
      </c>
      <c r="J3066" s="185">
        <f t="shared" si="298"/>
        <v>814729.03</v>
      </c>
      <c r="K3066" s="189">
        <f t="shared" si="299"/>
        <v>4888.37</v>
      </c>
      <c r="L3066" s="189"/>
      <c r="M3066" s="138"/>
      <c r="N3066" s="138"/>
      <c r="O3066" s="138"/>
      <c r="S3066" s="72"/>
      <c r="T3066" s="72"/>
      <c r="U3066" s="72"/>
      <c r="V3066" s="72"/>
    </row>
    <row r="3067" spans="1:22" s="63" customFormat="1" ht="22.5" x14ac:dyDescent="0.25">
      <c r="A3067" s="84">
        <v>24.227</v>
      </c>
      <c r="B3067" s="81" t="s">
        <v>88</v>
      </c>
      <c r="C3067" s="80">
        <v>107.1</v>
      </c>
      <c r="D3067" s="131" t="s">
        <v>2757</v>
      </c>
      <c r="E3067" s="83" t="s">
        <v>2758</v>
      </c>
      <c r="F3067" s="81" t="s">
        <v>334</v>
      </c>
      <c r="G3067" s="87">
        <v>6.06</v>
      </c>
      <c r="H3067" s="85"/>
      <c r="I3067" s="86">
        <v>83969.99</v>
      </c>
      <c r="J3067" s="185">
        <f t="shared" si="298"/>
        <v>15776.94</v>
      </c>
      <c r="K3067" s="189">
        <f t="shared" si="299"/>
        <v>95608.26</v>
      </c>
      <c r="L3067" s="189"/>
      <c r="M3067" s="138"/>
      <c r="N3067" s="138"/>
      <c r="O3067" s="138"/>
      <c r="S3067" s="72"/>
      <c r="T3067" s="72"/>
      <c r="U3067" s="72"/>
      <c r="V3067" s="72"/>
    </row>
    <row r="3068" spans="1:22" s="63" customFormat="1" ht="15" x14ac:dyDescent="0.25">
      <c r="A3068" s="84">
        <v>24.228000000000002</v>
      </c>
      <c r="B3068" s="81" t="s">
        <v>88</v>
      </c>
      <c r="C3068" s="82">
        <v>108</v>
      </c>
      <c r="D3068" s="131" t="s">
        <v>2759</v>
      </c>
      <c r="E3068" s="83" t="s">
        <v>2760</v>
      </c>
      <c r="F3068" s="81" t="s">
        <v>2761</v>
      </c>
      <c r="G3068" s="87">
        <v>0.06</v>
      </c>
      <c r="H3068" s="85"/>
      <c r="I3068" s="86">
        <v>5424.21</v>
      </c>
      <c r="J3068" s="185">
        <f t="shared" si="298"/>
        <v>102933.43</v>
      </c>
      <c r="K3068" s="189">
        <f t="shared" si="299"/>
        <v>6176.01</v>
      </c>
      <c r="L3068" s="189"/>
      <c r="M3068" s="138"/>
      <c r="N3068" s="138"/>
      <c r="O3068" s="138"/>
      <c r="S3068" s="72"/>
      <c r="T3068" s="72"/>
      <c r="U3068" s="72"/>
      <c r="V3068" s="72"/>
    </row>
    <row r="3069" spans="1:22" s="63" customFormat="1" ht="15" x14ac:dyDescent="0.25">
      <c r="A3069" s="84">
        <v>24.228999999999999</v>
      </c>
      <c r="B3069" s="81" t="s">
        <v>88</v>
      </c>
      <c r="C3069" s="82">
        <v>109</v>
      </c>
      <c r="D3069" s="131" t="s">
        <v>2657</v>
      </c>
      <c r="E3069" s="83" t="s">
        <v>2658</v>
      </c>
      <c r="F3069" s="81" t="s">
        <v>2350</v>
      </c>
      <c r="G3069" s="84">
        <v>8.5999999999999993E-2</v>
      </c>
      <c r="H3069" s="85"/>
      <c r="I3069" s="86">
        <v>28535.38</v>
      </c>
      <c r="J3069" s="185">
        <f t="shared" si="298"/>
        <v>377795.16</v>
      </c>
      <c r="K3069" s="189">
        <f t="shared" si="299"/>
        <v>32490.38</v>
      </c>
      <c r="L3069" s="189"/>
      <c r="M3069" s="138"/>
      <c r="N3069" s="138"/>
      <c r="O3069" s="138"/>
      <c r="S3069" s="72"/>
      <c r="T3069" s="72"/>
      <c r="U3069" s="72"/>
      <c r="V3069" s="72"/>
    </row>
    <row r="3070" spans="1:22" s="63" customFormat="1" ht="22.5" x14ac:dyDescent="0.25">
      <c r="A3070" s="84">
        <v>24.23</v>
      </c>
      <c r="B3070" s="81" t="s">
        <v>88</v>
      </c>
      <c r="C3070" s="80">
        <v>109.1</v>
      </c>
      <c r="D3070" s="131" t="s">
        <v>2706</v>
      </c>
      <c r="E3070" s="83" t="s">
        <v>2707</v>
      </c>
      <c r="F3070" s="81" t="s">
        <v>334</v>
      </c>
      <c r="G3070" s="84">
        <v>86.688000000000002</v>
      </c>
      <c r="H3070" s="85"/>
      <c r="I3070" s="86">
        <v>115699.38</v>
      </c>
      <c r="J3070" s="185">
        <f t="shared" si="298"/>
        <v>1519.65</v>
      </c>
      <c r="K3070" s="189">
        <f t="shared" si="299"/>
        <v>131735.42000000001</v>
      </c>
      <c r="L3070" s="189"/>
      <c r="M3070" s="138"/>
      <c r="N3070" s="138"/>
      <c r="O3070" s="138"/>
      <c r="S3070" s="72"/>
      <c r="T3070" s="72"/>
      <c r="U3070" s="72"/>
      <c r="V3070" s="72"/>
    </row>
    <row r="3071" spans="1:22" s="63" customFormat="1" ht="22.5" x14ac:dyDescent="0.25">
      <c r="A3071" s="84">
        <v>24.231000000000002</v>
      </c>
      <c r="B3071" s="81" t="s">
        <v>88</v>
      </c>
      <c r="C3071" s="80">
        <v>109.2</v>
      </c>
      <c r="D3071" s="131" t="s">
        <v>2762</v>
      </c>
      <c r="E3071" s="83" t="s">
        <v>4050</v>
      </c>
      <c r="F3071" s="81" t="s">
        <v>219</v>
      </c>
      <c r="G3071" s="82">
        <v>11</v>
      </c>
      <c r="H3071" s="85"/>
      <c r="I3071" s="86">
        <v>9407.2900000000009</v>
      </c>
      <c r="J3071" s="185">
        <f t="shared" si="298"/>
        <v>973.74</v>
      </c>
      <c r="K3071" s="189">
        <f t="shared" si="299"/>
        <v>10711.14</v>
      </c>
      <c r="L3071" s="189"/>
      <c r="M3071" s="138"/>
      <c r="N3071" s="138"/>
      <c r="O3071" s="138"/>
      <c r="S3071" s="72"/>
      <c r="T3071" s="72"/>
      <c r="U3071" s="72"/>
      <c r="V3071" s="72"/>
    </row>
    <row r="3072" spans="1:22" s="63" customFormat="1" ht="22.5" x14ac:dyDescent="0.25">
      <c r="A3072" s="84">
        <v>24.231999999999999</v>
      </c>
      <c r="B3072" s="81" t="s">
        <v>88</v>
      </c>
      <c r="C3072" s="82">
        <v>110</v>
      </c>
      <c r="D3072" s="131" t="s">
        <v>671</v>
      </c>
      <c r="E3072" s="83" t="s">
        <v>672</v>
      </c>
      <c r="F3072" s="81" t="s">
        <v>566</v>
      </c>
      <c r="G3072" s="80">
        <v>1.1000000000000001</v>
      </c>
      <c r="H3072" s="85"/>
      <c r="I3072" s="86">
        <v>12985.15</v>
      </c>
      <c r="J3072" s="185">
        <f t="shared" si="298"/>
        <v>13440.81</v>
      </c>
      <c r="K3072" s="189">
        <f t="shared" si="299"/>
        <v>14784.89</v>
      </c>
      <c r="L3072" s="189"/>
      <c r="M3072" s="138"/>
      <c r="N3072" s="138"/>
      <c r="O3072" s="138"/>
      <c r="S3072" s="72"/>
      <c r="T3072" s="72"/>
      <c r="U3072" s="72"/>
      <c r="V3072" s="72"/>
    </row>
    <row r="3073" spans="1:22" s="63" customFormat="1" ht="22.5" x14ac:dyDescent="0.25">
      <c r="A3073" s="84">
        <v>24.233000000000001</v>
      </c>
      <c r="B3073" s="81" t="s">
        <v>88</v>
      </c>
      <c r="C3073" s="80">
        <v>110.1</v>
      </c>
      <c r="D3073" s="131" t="s">
        <v>2763</v>
      </c>
      <c r="E3073" s="83" t="s">
        <v>2764</v>
      </c>
      <c r="F3073" s="81" t="s">
        <v>219</v>
      </c>
      <c r="G3073" s="82">
        <v>6</v>
      </c>
      <c r="H3073" s="85"/>
      <c r="I3073" s="86">
        <v>3299.63</v>
      </c>
      <c r="J3073" s="185">
        <f t="shared" si="298"/>
        <v>626.16</v>
      </c>
      <c r="K3073" s="189">
        <f t="shared" si="299"/>
        <v>3756.96</v>
      </c>
      <c r="L3073" s="189"/>
      <c r="M3073" s="138"/>
      <c r="N3073" s="138"/>
      <c r="O3073" s="138"/>
      <c r="S3073" s="72"/>
      <c r="T3073" s="72"/>
      <c r="U3073" s="72"/>
      <c r="V3073" s="72"/>
    </row>
    <row r="3074" spans="1:22" s="63" customFormat="1" ht="22.5" x14ac:dyDescent="0.25">
      <c r="A3074" s="84">
        <v>24.234000000000002</v>
      </c>
      <c r="B3074" s="81" t="s">
        <v>88</v>
      </c>
      <c r="C3074" s="80">
        <v>110.2</v>
      </c>
      <c r="D3074" s="131" t="s">
        <v>2765</v>
      </c>
      <c r="E3074" s="83" t="s">
        <v>4051</v>
      </c>
      <c r="F3074" s="81" t="s">
        <v>219</v>
      </c>
      <c r="G3074" s="82">
        <v>6</v>
      </c>
      <c r="H3074" s="85"/>
      <c r="I3074" s="86">
        <v>3503.78</v>
      </c>
      <c r="J3074" s="185">
        <f t="shared" si="298"/>
        <v>664.9</v>
      </c>
      <c r="K3074" s="189">
        <f t="shared" si="299"/>
        <v>3989.4</v>
      </c>
      <c r="L3074" s="189"/>
      <c r="M3074" s="138"/>
      <c r="N3074" s="138"/>
      <c r="O3074" s="138"/>
      <c r="S3074" s="72"/>
      <c r="T3074" s="72"/>
      <c r="U3074" s="72"/>
      <c r="V3074" s="72"/>
    </row>
    <row r="3075" spans="1:22" s="63" customFormat="1" ht="22.5" x14ac:dyDescent="0.25">
      <c r="A3075" s="84">
        <v>24.234999999999999</v>
      </c>
      <c r="B3075" s="81" t="s">
        <v>88</v>
      </c>
      <c r="C3075" s="80">
        <v>110.3</v>
      </c>
      <c r="D3075" s="131" t="s">
        <v>2766</v>
      </c>
      <c r="E3075" s="83" t="s">
        <v>4052</v>
      </c>
      <c r="F3075" s="81" t="s">
        <v>219</v>
      </c>
      <c r="G3075" s="82">
        <v>5</v>
      </c>
      <c r="H3075" s="85"/>
      <c r="I3075" s="86">
        <v>11668.68</v>
      </c>
      <c r="J3075" s="185">
        <f t="shared" si="298"/>
        <v>2657.19</v>
      </c>
      <c r="K3075" s="189">
        <f t="shared" si="299"/>
        <v>13285.95</v>
      </c>
      <c r="L3075" s="189"/>
      <c r="M3075" s="138"/>
      <c r="N3075" s="138"/>
      <c r="O3075" s="138"/>
      <c r="S3075" s="72"/>
      <c r="T3075" s="72"/>
      <c r="U3075" s="72"/>
      <c r="V3075" s="72"/>
    </row>
    <row r="3076" spans="1:22" s="63" customFormat="1" ht="15" x14ac:dyDescent="0.25">
      <c r="A3076" s="84">
        <v>24.236000000000001</v>
      </c>
      <c r="B3076" s="81" t="s">
        <v>88</v>
      </c>
      <c r="C3076" s="82">
        <v>111</v>
      </c>
      <c r="D3076" s="131" t="s">
        <v>2667</v>
      </c>
      <c r="E3076" s="83" t="s">
        <v>2668</v>
      </c>
      <c r="F3076" s="81" t="s">
        <v>566</v>
      </c>
      <c r="G3076" s="80">
        <v>0.1</v>
      </c>
      <c r="H3076" s="85"/>
      <c r="I3076" s="86">
        <v>1740.74</v>
      </c>
      <c r="J3076" s="185">
        <f t="shared" si="298"/>
        <v>19820.07</v>
      </c>
      <c r="K3076" s="189">
        <f t="shared" si="299"/>
        <v>1982.01</v>
      </c>
      <c r="L3076" s="189"/>
      <c r="M3076" s="138"/>
      <c r="N3076" s="138"/>
      <c r="O3076" s="138"/>
      <c r="S3076" s="72"/>
      <c r="T3076" s="72"/>
      <c r="U3076" s="72"/>
      <c r="V3076" s="72"/>
    </row>
    <row r="3077" spans="1:22" s="63" customFormat="1" ht="22.5" x14ac:dyDescent="0.25">
      <c r="A3077" s="84">
        <v>24.236999999999998</v>
      </c>
      <c r="B3077" s="81" t="s">
        <v>88</v>
      </c>
      <c r="C3077" s="80">
        <v>111.1</v>
      </c>
      <c r="D3077" s="131" t="s">
        <v>2767</v>
      </c>
      <c r="E3077" s="83" t="s">
        <v>4053</v>
      </c>
      <c r="F3077" s="81" t="s">
        <v>219</v>
      </c>
      <c r="G3077" s="82">
        <v>1</v>
      </c>
      <c r="H3077" s="85"/>
      <c r="I3077" s="86">
        <v>699.92</v>
      </c>
      <c r="J3077" s="185">
        <f t="shared" si="298"/>
        <v>796.93</v>
      </c>
      <c r="K3077" s="189">
        <f t="shared" si="299"/>
        <v>796.93</v>
      </c>
      <c r="L3077" s="189"/>
      <c r="M3077" s="138"/>
      <c r="N3077" s="138"/>
      <c r="O3077" s="138"/>
      <c r="S3077" s="72"/>
      <c r="T3077" s="72"/>
      <c r="U3077" s="72"/>
      <c r="V3077" s="72"/>
    </row>
    <row r="3078" spans="1:22" s="63" customFormat="1" ht="15" x14ac:dyDescent="0.25">
      <c r="A3078" s="84">
        <v>24.238</v>
      </c>
      <c r="B3078" s="81" t="s">
        <v>88</v>
      </c>
      <c r="C3078" s="82">
        <v>112</v>
      </c>
      <c r="D3078" s="131" t="s">
        <v>2768</v>
      </c>
      <c r="E3078" s="83" t="s">
        <v>2769</v>
      </c>
      <c r="F3078" s="81" t="s">
        <v>219</v>
      </c>
      <c r="G3078" s="82">
        <v>4</v>
      </c>
      <c r="H3078" s="85"/>
      <c r="I3078" s="86">
        <v>8526.44</v>
      </c>
      <c r="J3078" s="185">
        <f t="shared" si="298"/>
        <v>2427.0500000000002</v>
      </c>
      <c r="K3078" s="189">
        <f t="shared" si="299"/>
        <v>9708.2000000000007</v>
      </c>
      <c r="L3078" s="189"/>
      <c r="M3078" s="138"/>
      <c r="N3078" s="138"/>
      <c r="O3078" s="138"/>
      <c r="S3078" s="72"/>
      <c r="T3078" s="72"/>
      <c r="U3078" s="72"/>
      <c r="V3078" s="72"/>
    </row>
    <row r="3079" spans="1:22" s="63" customFormat="1" ht="22.5" x14ac:dyDescent="0.25">
      <c r="A3079" s="84">
        <v>24.239000000000001</v>
      </c>
      <c r="B3079" s="81" t="s">
        <v>88</v>
      </c>
      <c r="C3079" s="80">
        <v>112.1</v>
      </c>
      <c r="D3079" s="131" t="s">
        <v>2770</v>
      </c>
      <c r="E3079" s="83" t="s">
        <v>2771</v>
      </c>
      <c r="F3079" s="81" t="s">
        <v>219</v>
      </c>
      <c r="G3079" s="82">
        <v>4</v>
      </c>
      <c r="H3079" s="85"/>
      <c r="I3079" s="86">
        <v>1520.26</v>
      </c>
      <c r="J3079" s="185">
        <f t="shared" si="298"/>
        <v>432.74</v>
      </c>
      <c r="K3079" s="189">
        <f t="shared" si="299"/>
        <v>1730.96</v>
      </c>
      <c r="L3079" s="189"/>
      <c r="M3079" s="138"/>
      <c r="N3079" s="138"/>
      <c r="O3079" s="138"/>
      <c r="S3079" s="72"/>
      <c r="T3079" s="72"/>
      <c r="U3079" s="72"/>
      <c r="V3079" s="72"/>
    </row>
    <row r="3080" spans="1:22" s="63" customFormat="1" ht="15" x14ac:dyDescent="0.25">
      <c r="A3080" s="84">
        <v>24.24</v>
      </c>
      <c r="B3080" s="81" t="s">
        <v>88</v>
      </c>
      <c r="C3080" s="82">
        <v>113</v>
      </c>
      <c r="D3080" s="131" t="s">
        <v>2772</v>
      </c>
      <c r="E3080" s="83" t="s">
        <v>2773</v>
      </c>
      <c r="F3080" s="81" t="s">
        <v>219</v>
      </c>
      <c r="G3080" s="82">
        <v>2</v>
      </c>
      <c r="H3080" s="85"/>
      <c r="I3080" s="86">
        <v>4266.99</v>
      </c>
      <c r="J3080" s="185">
        <f t="shared" si="298"/>
        <v>2429.1999999999998</v>
      </c>
      <c r="K3080" s="189">
        <f t="shared" si="299"/>
        <v>4858.3999999999996</v>
      </c>
      <c r="L3080" s="189"/>
      <c r="M3080" s="138"/>
      <c r="N3080" s="138"/>
      <c r="O3080" s="138"/>
      <c r="S3080" s="72"/>
      <c r="T3080" s="72"/>
      <c r="U3080" s="72"/>
      <c r="V3080" s="72"/>
    </row>
    <row r="3081" spans="1:22" s="63" customFormat="1" ht="22.5" x14ac:dyDescent="0.25">
      <c r="A3081" s="84">
        <v>24.241</v>
      </c>
      <c r="B3081" s="81" t="s">
        <v>88</v>
      </c>
      <c r="C3081" s="80">
        <v>113.1</v>
      </c>
      <c r="D3081" s="131" t="s">
        <v>2774</v>
      </c>
      <c r="E3081" s="83" t="s">
        <v>2775</v>
      </c>
      <c r="F3081" s="81" t="s">
        <v>219</v>
      </c>
      <c r="G3081" s="82">
        <v>2</v>
      </c>
      <c r="H3081" s="85"/>
      <c r="I3081" s="86">
        <v>10520.49</v>
      </c>
      <c r="J3081" s="185">
        <f t="shared" si="298"/>
        <v>5989.31</v>
      </c>
      <c r="K3081" s="189">
        <f t="shared" si="299"/>
        <v>11978.62</v>
      </c>
      <c r="L3081" s="189"/>
      <c r="M3081" s="138"/>
      <c r="N3081" s="138"/>
      <c r="O3081" s="138"/>
      <c r="S3081" s="72"/>
      <c r="T3081" s="72"/>
      <c r="U3081" s="72"/>
      <c r="V3081" s="72"/>
    </row>
    <row r="3082" spans="1:22" s="63" customFormat="1" ht="15" x14ac:dyDescent="0.25">
      <c r="A3082" s="84">
        <v>24.242000000000001</v>
      </c>
      <c r="B3082" s="81" t="s">
        <v>88</v>
      </c>
      <c r="C3082" s="82">
        <v>114</v>
      </c>
      <c r="D3082" s="131" t="s">
        <v>2708</v>
      </c>
      <c r="E3082" s="83" t="s">
        <v>2709</v>
      </c>
      <c r="F3082" s="81" t="s">
        <v>2350</v>
      </c>
      <c r="G3082" s="84">
        <v>8.5999999999999993E-2</v>
      </c>
      <c r="H3082" s="85"/>
      <c r="I3082" s="86">
        <v>5129.1000000000004</v>
      </c>
      <c r="J3082" s="185">
        <f t="shared" si="298"/>
        <v>67906.899999999994</v>
      </c>
      <c r="K3082" s="189">
        <f t="shared" si="299"/>
        <v>5839.99</v>
      </c>
      <c r="L3082" s="189"/>
      <c r="M3082" s="138"/>
      <c r="N3082" s="138"/>
      <c r="O3082" s="138"/>
      <c r="S3082" s="72"/>
      <c r="T3082" s="72"/>
      <c r="U3082" s="72"/>
      <c r="V3082" s="72"/>
    </row>
    <row r="3083" spans="1:22" s="63" customFormat="1" ht="15" x14ac:dyDescent="0.25">
      <c r="A3083" s="84">
        <v>24.242999999999999</v>
      </c>
      <c r="B3083" s="81" t="s">
        <v>88</v>
      </c>
      <c r="C3083" s="82">
        <v>115</v>
      </c>
      <c r="D3083" s="131" t="s">
        <v>280</v>
      </c>
      <c r="E3083" s="83" t="s">
        <v>281</v>
      </c>
      <c r="F3083" s="81" t="s">
        <v>226</v>
      </c>
      <c r="G3083" s="90">
        <v>1.0621999999999999E-2</v>
      </c>
      <c r="H3083" s="85"/>
      <c r="I3083" s="86">
        <v>2260.09</v>
      </c>
      <c r="J3083" s="185">
        <f t="shared" si="298"/>
        <v>242264.97</v>
      </c>
      <c r="K3083" s="189">
        <f t="shared" si="299"/>
        <v>2573.34</v>
      </c>
      <c r="L3083" s="189"/>
      <c r="M3083" s="138"/>
      <c r="N3083" s="138"/>
      <c r="O3083" s="138"/>
      <c r="S3083" s="72"/>
      <c r="T3083" s="72"/>
      <c r="U3083" s="72"/>
      <c r="V3083" s="72"/>
    </row>
    <row r="3084" spans="1:22" s="63" customFormat="1" ht="15" x14ac:dyDescent="0.25">
      <c r="A3084" s="84">
        <v>24.244</v>
      </c>
      <c r="B3084" s="81" t="s">
        <v>88</v>
      </c>
      <c r="C3084" s="80">
        <v>115.1</v>
      </c>
      <c r="D3084" s="131" t="s">
        <v>2776</v>
      </c>
      <c r="E3084" s="83" t="s">
        <v>4054</v>
      </c>
      <c r="F3084" s="81" t="s">
        <v>219</v>
      </c>
      <c r="G3084" s="82">
        <v>9</v>
      </c>
      <c r="H3084" s="85"/>
      <c r="I3084" s="86">
        <v>11802.94</v>
      </c>
      <c r="J3084" s="185">
        <f t="shared" si="298"/>
        <v>1493.2</v>
      </c>
      <c r="K3084" s="189">
        <f t="shared" si="299"/>
        <v>13438.8</v>
      </c>
      <c r="L3084" s="189"/>
      <c r="M3084" s="138"/>
      <c r="N3084" s="138"/>
      <c r="O3084" s="138"/>
      <c r="S3084" s="72"/>
      <c r="T3084" s="72"/>
      <c r="U3084" s="72"/>
      <c r="V3084" s="72"/>
    </row>
    <row r="3085" spans="1:22" s="63" customFormat="1" ht="22.5" x14ac:dyDescent="0.25">
      <c r="A3085" s="84">
        <v>24.245000000000001</v>
      </c>
      <c r="B3085" s="81" t="s">
        <v>88</v>
      </c>
      <c r="C3085" s="80">
        <v>115.2</v>
      </c>
      <c r="D3085" s="131" t="s">
        <v>2567</v>
      </c>
      <c r="E3085" s="83" t="s">
        <v>2568</v>
      </c>
      <c r="F3085" s="81" t="s">
        <v>219</v>
      </c>
      <c r="G3085" s="82">
        <v>2</v>
      </c>
      <c r="H3085" s="85"/>
      <c r="I3085" s="86">
        <v>1677.43</v>
      </c>
      <c r="J3085" s="185">
        <f t="shared" si="298"/>
        <v>954.96</v>
      </c>
      <c r="K3085" s="189">
        <f t="shared" si="299"/>
        <v>1909.92</v>
      </c>
      <c r="L3085" s="189"/>
      <c r="M3085" s="138"/>
      <c r="N3085" s="138"/>
      <c r="O3085" s="138"/>
      <c r="S3085" s="72"/>
      <c r="T3085" s="72"/>
      <c r="U3085" s="72"/>
      <c r="V3085" s="72"/>
    </row>
    <row r="3086" spans="1:22" s="63" customFormat="1" ht="22.5" x14ac:dyDescent="0.25">
      <c r="A3086" s="84">
        <v>24.245999999999999</v>
      </c>
      <c r="B3086" s="81" t="s">
        <v>88</v>
      </c>
      <c r="C3086" s="82">
        <v>116</v>
      </c>
      <c r="D3086" s="131" t="s">
        <v>2777</v>
      </c>
      <c r="E3086" s="83" t="s">
        <v>2778</v>
      </c>
      <c r="F3086" s="81" t="s">
        <v>779</v>
      </c>
      <c r="G3086" s="82">
        <v>11</v>
      </c>
      <c r="H3086" s="85"/>
      <c r="I3086" s="86">
        <v>26143.93</v>
      </c>
      <c r="J3086" s="185">
        <f t="shared" si="298"/>
        <v>2706.13</v>
      </c>
      <c r="K3086" s="189">
        <f t="shared" si="299"/>
        <v>29767.43</v>
      </c>
      <c r="L3086" s="189"/>
      <c r="M3086" s="138"/>
      <c r="N3086" s="138"/>
      <c r="O3086" s="138"/>
      <c r="S3086" s="72"/>
      <c r="T3086" s="72"/>
      <c r="U3086" s="72"/>
      <c r="V3086" s="72"/>
    </row>
    <row r="3087" spans="1:22" s="63" customFormat="1" ht="22.5" x14ac:dyDescent="0.25">
      <c r="A3087" s="84">
        <v>24.247</v>
      </c>
      <c r="B3087" s="81" t="s">
        <v>88</v>
      </c>
      <c r="C3087" s="80">
        <v>116.1</v>
      </c>
      <c r="D3087" s="131" t="s">
        <v>2622</v>
      </c>
      <c r="E3087" s="83" t="s">
        <v>2623</v>
      </c>
      <c r="F3087" s="81" t="s">
        <v>226</v>
      </c>
      <c r="G3087" s="88">
        <v>8.9899999999999994E-2</v>
      </c>
      <c r="H3087" s="85"/>
      <c r="I3087" s="86">
        <v>22953.200000000001</v>
      </c>
      <c r="J3087" s="185">
        <f t="shared" si="298"/>
        <v>290706.49</v>
      </c>
      <c r="K3087" s="189">
        <f t="shared" si="299"/>
        <v>26134.51</v>
      </c>
      <c r="L3087" s="189"/>
      <c r="M3087" s="138"/>
      <c r="N3087" s="138"/>
      <c r="O3087" s="138"/>
      <c r="S3087" s="72"/>
      <c r="T3087" s="72"/>
      <c r="U3087" s="72"/>
      <c r="V3087" s="72"/>
    </row>
    <row r="3088" spans="1:22" s="128" customFormat="1" ht="12.75" x14ac:dyDescent="0.25">
      <c r="A3088" s="242"/>
      <c r="B3088" s="125"/>
      <c r="C3088" s="236"/>
      <c r="D3088" s="77"/>
      <c r="E3088" s="126" t="s">
        <v>3390</v>
      </c>
      <c r="F3088" s="125"/>
      <c r="G3088" s="240"/>
      <c r="H3088" s="127"/>
      <c r="I3088" s="78"/>
      <c r="J3088" s="238"/>
      <c r="K3088" s="239"/>
      <c r="L3088" s="239"/>
      <c r="M3088" s="79"/>
      <c r="N3088" s="79"/>
      <c r="O3088" s="79"/>
      <c r="S3088" s="129"/>
      <c r="T3088" s="129"/>
      <c r="U3088" s="129"/>
      <c r="V3088" s="129"/>
    </row>
    <row r="3089" spans="1:22" s="63" customFormat="1" ht="22.5" x14ac:dyDescent="0.25">
      <c r="A3089" s="84">
        <v>24.248000000000001</v>
      </c>
      <c r="B3089" s="81" t="s">
        <v>88</v>
      </c>
      <c r="C3089" s="82">
        <v>117</v>
      </c>
      <c r="D3089" s="131" t="s">
        <v>2474</v>
      </c>
      <c r="E3089" s="83" t="s">
        <v>2714</v>
      </c>
      <c r="F3089" s="81" t="s">
        <v>226</v>
      </c>
      <c r="G3089" s="84">
        <v>2.5999999999999999E-2</v>
      </c>
      <c r="H3089" s="85"/>
      <c r="I3089" s="86">
        <v>22400.04</v>
      </c>
      <c r="J3089" s="185">
        <f t="shared" ref="J3089:J3094" si="300">ROUND($I3089/$G3089*$N$11,2)</f>
        <v>980949.44</v>
      </c>
      <c r="K3089" s="189">
        <f t="shared" ref="K3089:K3094" si="301">ROUND(G3089*J3089,2)</f>
        <v>25504.69</v>
      </c>
      <c r="L3089" s="189"/>
      <c r="M3089" s="138"/>
      <c r="N3089" s="138"/>
      <c r="O3089" s="138"/>
      <c r="S3089" s="72"/>
      <c r="T3089" s="72"/>
      <c r="U3089" s="72"/>
      <c r="V3089" s="72"/>
    </row>
    <row r="3090" spans="1:22" s="63" customFormat="1" ht="22.5" x14ac:dyDescent="0.25">
      <c r="A3090" s="84">
        <v>24.248999999999999</v>
      </c>
      <c r="B3090" s="81" t="s">
        <v>88</v>
      </c>
      <c r="C3090" s="80">
        <v>117.1</v>
      </c>
      <c r="D3090" s="131" t="s">
        <v>2476</v>
      </c>
      <c r="E3090" s="83" t="s">
        <v>2477</v>
      </c>
      <c r="F3090" s="81" t="s">
        <v>226</v>
      </c>
      <c r="G3090" s="84">
        <v>-2.5999999999999999E-2</v>
      </c>
      <c r="H3090" s="85"/>
      <c r="I3090" s="86">
        <v>-1705.23</v>
      </c>
      <c r="J3090" s="185">
        <f t="shared" si="300"/>
        <v>74675.960000000006</v>
      </c>
      <c r="K3090" s="189">
        <f t="shared" si="301"/>
        <v>-1941.57</v>
      </c>
      <c r="L3090" s="189"/>
      <c r="M3090" s="138"/>
      <c r="N3090" s="138"/>
      <c r="O3090" s="138"/>
      <c r="S3090" s="72"/>
      <c r="T3090" s="72"/>
      <c r="U3090" s="72"/>
      <c r="V3090" s="72"/>
    </row>
    <row r="3091" spans="1:22" s="63" customFormat="1" ht="33.75" x14ac:dyDescent="0.25">
      <c r="A3091" s="84">
        <v>24.25</v>
      </c>
      <c r="B3091" s="81" t="s">
        <v>88</v>
      </c>
      <c r="C3091" s="80">
        <v>117.2</v>
      </c>
      <c r="D3091" s="131" t="s">
        <v>2779</v>
      </c>
      <c r="E3091" s="83" t="s">
        <v>4055</v>
      </c>
      <c r="F3091" s="81" t="s">
        <v>219</v>
      </c>
      <c r="G3091" s="82">
        <v>2</v>
      </c>
      <c r="H3091" s="85"/>
      <c r="I3091" s="86">
        <v>7664.95</v>
      </c>
      <c r="J3091" s="185">
        <f t="shared" si="300"/>
        <v>4363.66</v>
      </c>
      <c r="K3091" s="189">
        <f t="shared" si="301"/>
        <v>8727.32</v>
      </c>
      <c r="L3091" s="189"/>
      <c r="M3091" s="138"/>
      <c r="N3091" s="138"/>
      <c r="O3091" s="138"/>
      <c r="S3091" s="72"/>
      <c r="T3091" s="72"/>
      <c r="U3091" s="72"/>
      <c r="V3091" s="72"/>
    </row>
    <row r="3092" spans="1:22" s="63" customFormat="1" ht="15" x14ac:dyDescent="0.25">
      <c r="A3092" s="84">
        <v>24.251000000000001</v>
      </c>
      <c r="B3092" s="81" t="s">
        <v>88</v>
      </c>
      <c r="C3092" s="82">
        <v>118</v>
      </c>
      <c r="D3092" s="131" t="s">
        <v>2716</v>
      </c>
      <c r="E3092" s="83" t="s">
        <v>2717</v>
      </c>
      <c r="F3092" s="81" t="s">
        <v>219</v>
      </c>
      <c r="G3092" s="82">
        <v>2</v>
      </c>
      <c r="H3092" s="85"/>
      <c r="I3092" s="86">
        <v>43973.81</v>
      </c>
      <c r="J3092" s="185">
        <f t="shared" si="300"/>
        <v>25034.29</v>
      </c>
      <c r="K3092" s="189">
        <f t="shared" si="301"/>
        <v>50068.58</v>
      </c>
      <c r="L3092" s="189"/>
      <c r="M3092" s="138"/>
      <c r="N3092" s="138"/>
      <c r="O3092" s="138"/>
      <c r="S3092" s="72"/>
      <c r="T3092" s="72"/>
      <c r="U3092" s="72"/>
      <c r="V3092" s="72"/>
    </row>
    <row r="3093" spans="1:22" s="63" customFormat="1" ht="22.5" x14ac:dyDescent="0.25">
      <c r="A3093" s="84">
        <v>24.251999999999999</v>
      </c>
      <c r="B3093" s="81" t="s">
        <v>88</v>
      </c>
      <c r="C3093" s="82">
        <v>119</v>
      </c>
      <c r="D3093" s="131" t="s">
        <v>671</v>
      </c>
      <c r="E3093" s="83" t="s">
        <v>672</v>
      </c>
      <c r="F3093" s="81" t="s">
        <v>566</v>
      </c>
      <c r="G3093" s="80">
        <v>0.2</v>
      </c>
      <c r="H3093" s="85"/>
      <c r="I3093" s="86">
        <v>2361.38</v>
      </c>
      <c r="J3093" s="185">
        <f t="shared" si="300"/>
        <v>13443.34</v>
      </c>
      <c r="K3093" s="189">
        <f t="shared" si="301"/>
        <v>2688.67</v>
      </c>
      <c r="L3093" s="189"/>
      <c r="M3093" s="138"/>
      <c r="N3093" s="138"/>
      <c r="O3093" s="138"/>
      <c r="S3093" s="72"/>
      <c r="T3093" s="72"/>
      <c r="U3093" s="72"/>
      <c r="V3093" s="72"/>
    </row>
    <row r="3094" spans="1:22" s="63" customFormat="1" ht="33.75" x14ac:dyDescent="0.25">
      <c r="A3094" s="84">
        <v>24.253</v>
      </c>
      <c r="B3094" s="81" t="s">
        <v>88</v>
      </c>
      <c r="C3094" s="80">
        <v>119.1</v>
      </c>
      <c r="D3094" s="131" t="s">
        <v>2722</v>
      </c>
      <c r="E3094" s="83" t="s">
        <v>2723</v>
      </c>
      <c r="F3094" s="81" t="s">
        <v>219</v>
      </c>
      <c r="G3094" s="82">
        <v>2</v>
      </c>
      <c r="H3094" s="85"/>
      <c r="I3094" s="86">
        <v>7637.33</v>
      </c>
      <c r="J3094" s="185">
        <f t="shared" si="300"/>
        <v>4347.93</v>
      </c>
      <c r="K3094" s="189">
        <f t="shared" si="301"/>
        <v>8695.86</v>
      </c>
      <c r="L3094" s="189"/>
      <c r="M3094" s="138"/>
      <c r="N3094" s="138"/>
      <c r="O3094" s="138"/>
      <c r="S3094" s="72"/>
      <c r="T3094" s="72"/>
      <c r="U3094" s="72"/>
      <c r="V3094" s="72"/>
    </row>
    <row r="3095" spans="1:22" s="128" customFormat="1" ht="25.5" x14ac:dyDescent="0.25">
      <c r="A3095" s="242"/>
      <c r="B3095" s="125"/>
      <c r="C3095" s="236"/>
      <c r="D3095" s="77"/>
      <c r="E3095" s="126" t="s">
        <v>3396</v>
      </c>
      <c r="F3095" s="125"/>
      <c r="G3095" s="76"/>
      <c r="H3095" s="127"/>
      <c r="I3095" s="78"/>
      <c r="J3095" s="238"/>
      <c r="K3095" s="239"/>
      <c r="L3095" s="239"/>
      <c r="M3095" s="79"/>
      <c r="N3095" s="79"/>
      <c r="O3095" s="79"/>
      <c r="S3095" s="129"/>
      <c r="T3095" s="129"/>
      <c r="U3095" s="129"/>
      <c r="V3095" s="129"/>
    </row>
    <row r="3096" spans="1:22" s="63" customFormat="1" ht="22.5" x14ac:dyDescent="0.25">
      <c r="A3096" s="84">
        <v>24.254000000000001</v>
      </c>
      <c r="B3096" s="81" t="s">
        <v>88</v>
      </c>
      <c r="C3096" s="82">
        <v>120</v>
      </c>
      <c r="D3096" s="131" t="s">
        <v>2638</v>
      </c>
      <c r="E3096" s="83" t="s">
        <v>2639</v>
      </c>
      <c r="F3096" s="81" t="s">
        <v>193</v>
      </c>
      <c r="G3096" s="90">
        <v>0.14924399999999999</v>
      </c>
      <c r="H3096" s="85"/>
      <c r="I3096" s="86">
        <v>14233.33</v>
      </c>
      <c r="J3096" s="185">
        <f t="shared" ref="J3096:J3104" si="302">ROUND($I3096/$G3096*$N$11,2)</f>
        <v>108587.75</v>
      </c>
      <c r="K3096" s="189">
        <f t="shared" ref="K3096:K3104" si="303">ROUND(G3096*J3096,2)</f>
        <v>16206.07</v>
      </c>
      <c r="L3096" s="189"/>
      <c r="M3096" s="138"/>
      <c r="N3096" s="138"/>
      <c r="O3096" s="138"/>
      <c r="S3096" s="72"/>
      <c r="T3096" s="72"/>
      <c r="U3096" s="72"/>
      <c r="V3096" s="72"/>
    </row>
    <row r="3097" spans="1:22" s="63" customFormat="1" ht="22.5" x14ac:dyDescent="0.25">
      <c r="A3097" s="84">
        <v>24.254999999999999</v>
      </c>
      <c r="B3097" s="81" t="s">
        <v>88</v>
      </c>
      <c r="C3097" s="82">
        <v>121</v>
      </c>
      <c r="D3097" s="131" t="s">
        <v>2553</v>
      </c>
      <c r="E3097" s="83" t="s">
        <v>2554</v>
      </c>
      <c r="F3097" s="81" t="s">
        <v>196</v>
      </c>
      <c r="G3097" s="90">
        <v>4.6157999999999998E-2</v>
      </c>
      <c r="H3097" s="85"/>
      <c r="I3097" s="86">
        <v>8522.02</v>
      </c>
      <c r="J3097" s="185">
        <f t="shared" si="302"/>
        <v>210216.47</v>
      </c>
      <c r="K3097" s="189">
        <f t="shared" si="303"/>
        <v>9703.17</v>
      </c>
      <c r="L3097" s="189"/>
      <c r="M3097" s="138"/>
      <c r="N3097" s="138"/>
      <c r="O3097" s="138"/>
      <c r="S3097" s="72"/>
      <c r="T3097" s="72"/>
      <c r="U3097" s="72"/>
      <c r="V3097" s="72"/>
    </row>
    <row r="3098" spans="1:22" s="63" customFormat="1" ht="15" x14ac:dyDescent="0.25">
      <c r="A3098" s="84">
        <v>24.256</v>
      </c>
      <c r="B3098" s="81" t="s">
        <v>88</v>
      </c>
      <c r="C3098" s="82">
        <v>122</v>
      </c>
      <c r="D3098" s="131" t="s">
        <v>2340</v>
      </c>
      <c r="E3098" s="83" t="s">
        <v>2555</v>
      </c>
      <c r="F3098" s="81" t="s">
        <v>319</v>
      </c>
      <c r="G3098" s="84">
        <v>0.105</v>
      </c>
      <c r="H3098" s="85"/>
      <c r="I3098" s="86">
        <v>1137.3800000000001</v>
      </c>
      <c r="J3098" s="185">
        <f t="shared" si="302"/>
        <v>12333.53</v>
      </c>
      <c r="K3098" s="189">
        <f t="shared" si="303"/>
        <v>1295.02</v>
      </c>
      <c r="L3098" s="189"/>
      <c r="M3098" s="138"/>
      <c r="N3098" s="138"/>
      <c r="O3098" s="138"/>
      <c r="S3098" s="72"/>
      <c r="T3098" s="72"/>
      <c r="U3098" s="72"/>
      <c r="V3098" s="72"/>
    </row>
    <row r="3099" spans="1:22" s="63" customFormat="1" ht="22.5" x14ac:dyDescent="0.25">
      <c r="A3099" s="84">
        <v>24.257000000000001</v>
      </c>
      <c r="B3099" s="81" t="s">
        <v>88</v>
      </c>
      <c r="C3099" s="82">
        <v>123</v>
      </c>
      <c r="D3099" s="131" t="s">
        <v>2627</v>
      </c>
      <c r="E3099" s="83" t="s">
        <v>2628</v>
      </c>
      <c r="F3099" s="81" t="s">
        <v>193</v>
      </c>
      <c r="G3099" s="89">
        <v>9.1240000000000002E-2</v>
      </c>
      <c r="H3099" s="85"/>
      <c r="I3099" s="86">
        <v>726.65</v>
      </c>
      <c r="J3099" s="185">
        <f t="shared" si="302"/>
        <v>9067.99</v>
      </c>
      <c r="K3099" s="189">
        <f t="shared" si="303"/>
        <v>827.36</v>
      </c>
      <c r="L3099" s="189"/>
      <c r="M3099" s="138"/>
      <c r="N3099" s="138"/>
      <c r="O3099" s="138"/>
      <c r="S3099" s="72"/>
      <c r="T3099" s="72"/>
      <c r="U3099" s="72"/>
      <c r="V3099" s="72"/>
    </row>
    <row r="3100" spans="1:22" s="63" customFormat="1" ht="15" x14ac:dyDescent="0.25">
      <c r="A3100" s="84">
        <v>24.257999999999999</v>
      </c>
      <c r="B3100" s="81" t="s">
        <v>88</v>
      </c>
      <c r="C3100" s="82">
        <v>124</v>
      </c>
      <c r="D3100" s="131" t="s">
        <v>201</v>
      </c>
      <c r="E3100" s="83" t="s">
        <v>202</v>
      </c>
      <c r="F3100" s="81" t="s">
        <v>196</v>
      </c>
      <c r="G3100" s="88">
        <v>0.91239999999999999</v>
      </c>
      <c r="H3100" s="85"/>
      <c r="I3100" s="86">
        <v>14898.65</v>
      </c>
      <c r="J3100" s="185">
        <f t="shared" si="302"/>
        <v>18592.29</v>
      </c>
      <c r="K3100" s="189">
        <f t="shared" si="303"/>
        <v>16963.61</v>
      </c>
      <c r="L3100" s="189"/>
      <c r="M3100" s="138"/>
      <c r="N3100" s="138"/>
      <c r="O3100" s="138"/>
      <c r="S3100" s="72"/>
      <c r="T3100" s="72"/>
      <c r="U3100" s="72"/>
      <c r="V3100" s="72"/>
    </row>
    <row r="3101" spans="1:22" s="63" customFormat="1" ht="22.5" x14ac:dyDescent="0.25">
      <c r="A3101" s="84">
        <v>24.259</v>
      </c>
      <c r="B3101" s="81" t="s">
        <v>88</v>
      </c>
      <c r="C3101" s="82">
        <v>125</v>
      </c>
      <c r="D3101" s="131" t="s">
        <v>2780</v>
      </c>
      <c r="E3101" s="83" t="s">
        <v>2781</v>
      </c>
      <c r="F3101" s="81" t="s">
        <v>319</v>
      </c>
      <c r="G3101" s="84">
        <v>1.363</v>
      </c>
      <c r="H3101" s="85"/>
      <c r="I3101" s="86">
        <v>308944.09999999998</v>
      </c>
      <c r="J3101" s="185">
        <f t="shared" si="302"/>
        <v>258080.52</v>
      </c>
      <c r="K3101" s="189">
        <f t="shared" si="303"/>
        <v>351763.75</v>
      </c>
      <c r="L3101" s="189"/>
      <c r="M3101" s="138"/>
      <c r="N3101" s="138"/>
      <c r="O3101" s="138"/>
      <c r="S3101" s="72"/>
      <c r="T3101" s="72"/>
      <c r="U3101" s="72"/>
      <c r="V3101" s="72"/>
    </row>
    <row r="3102" spans="1:22" s="63" customFormat="1" ht="22.5" x14ac:dyDescent="0.25">
      <c r="A3102" s="84">
        <v>24.26</v>
      </c>
      <c r="B3102" s="81" t="s">
        <v>88</v>
      </c>
      <c r="C3102" s="80">
        <v>125.1</v>
      </c>
      <c r="D3102" s="131" t="s">
        <v>2617</v>
      </c>
      <c r="E3102" s="83" t="s">
        <v>2618</v>
      </c>
      <c r="F3102" s="81" t="s">
        <v>219</v>
      </c>
      <c r="G3102" s="82">
        <v>2</v>
      </c>
      <c r="H3102" s="85"/>
      <c r="I3102" s="86">
        <v>8243.66</v>
      </c>
      <c r="J3102" s="185">
        <f t="shared" si="302"/>
        <v>4693.12</v>
      </c>
      <c r="K3102" s="189">
        <f t="shared" si="303"/>
        <v>9386.24</v>
      </c>
      <c r="L3102" s="189"/>
      <c r="M3102" s="138"/>
      <c r="N3102" s="138"/>
      <c r="O3102" s="138"/>
      <c r="S3102" s="72"/>
      <c r="T3102" s="72"/>
      <c r="U3102" s="72"/>
      <c r="V3102" s="72"/>
    </row>
    <row r="3103" spans="1:22" s="63" customFormat="1" ht="22.5" x14ac:dyDescent="0.25">
      <c r="A3103" s="84">
        <v>24.260999999999999</v>
      </c>
      <c r="B3103" s="81" t="s">
        <v>88</v>
      </c>
      <c r="C3103" s="80">
        <v>125.2</v>
      </c>
      <c r="D3103" s="131" t="s">
        <v>2782</v>
      </c>
      <c r="E3103" s="83" t="s">
        <v>2783</v>
      </c>
      <c r="F3103" s="81" t="s">
        <v>226</v>
      </c>
      <c r="G3103" s="84">
        <v>5.8000000000000003E-2</v>
      </c>
      <c r="H3103" s="85"/>
      <c r="I3103" s="86">
        <v>5187.43</v>
      </c>
      <c r="J3103" s="185">
        <f t="shared" si="302"/>
        <v>101834.62</v>
      </c>
      <c r="K3103" s="189">
        <f t="shared" si="303"/>
        <v>5906.41</v>
      </c>
      <c r="L3103" s="189"/>
      <c r="M3103" s="138"/>
      <c r="N3103" s="138"/>
      <c r="O3103" s="138"/>
      <c r="S3103" s="72"/>
      <c r="T3103" s="72"/>
      <c r="U3103" s="72"/>
      <c r="V3103" s="72"/>
    </row>
    <row r="3104" spans="1:22" s="63" customFormat="1" ht="22.5" x14ac:dyDescent="0.25">
      <c r="A3104" s="84">
        <v>24.262</v>
      </c>
      <c r="B3104" s="81" t="s">
        <v>88</v>
      </c>
      <c r="C3104" s="82">
        <v>126</v>
      </c>
      <c r="D3104" s="131" t="s">
        <v>2624</v>
      </c>
      <c r="E3104" s="83" t="s">
        <v>2625</v>
      </c>
      <c r="F3104" s="81" t="s">
        <v>207</v>
      </c>
      <c r="G3104" s="87">
        <v>1.72</v>
      </c>
      <c r="H3104" s="85"/>
      <c r="I3104" s="86">
        <v>58686.92</v>
      </c>
      <c r="J3104" s="185">
        <f t="shared" si="302"/>
        <v>38849.379999999997</v>
      </c>
      <c r="K3104" s="189">
        <f t="shared" si="303"/>
        <v>66820.929999999993</v>
      </c>
      <c r="L3104" s="189"/>
      <c r="M3104" s="138"/>
      <c r="N3104" s="138"/>
      <c r="O3104" s="138"/>
      <c r="S3104" s="72"/>
      <c r="T3104" s="72"/>
      <c r="U3104" s="72"/>
      <c r="V3104" s="72"/>
    </row>
    <row r="3105" spans="1:22" s="63" customFormat="1" ht="15" x14ac:dyDescent="0.25">
      <c r="A3105" s="194">
        <v>25</v>
      </c>
      <c r="B3105" s="418" t="s">
        <v>2784</v>
      </c>
      <c r="C3105" s="418"/>
      <c r="D3105" s="418"/>
      <c r="E3105" s="195" t="s">
        <v>91</v>
      </c>
      <c r="F3105" s="196"/>
      <c r="G3105" s="194"/>
      <c r="H3105" s="197">
        <v>5600682.0800000001</v>
      </c>
      <c r="I3105" s="355">
        <f>SUM(I3108:I3120)</f>
        <v>5600682.0800000001</v>
      </c>
      <c r="J3105" s="200"/>
      <c r="K3105" s="198">
        <f>SUM(K3108:K3120)</f>
        <v>6296706.2000000002</v>
      </c>
      <c r="L3105" s="198"/>
      <c r="M3105" s="207"/>
      <c r="N3105" s="209"/>
      <c r="O3105" s="138"/>
      <c r="S3105" s="72"/>
      <c r="T3105" s="72"/>
      <c r="U3105" s="72"/>
      <c r="V3105" s="72"/>
    </row>
    <row r="3106" spans="1:22" s="63" customFormat="1" ht="15" x14ac:dyDescent="0.25">
      <c r="A3106" s="91"/>
      <c r="B3106" s="92"/>
      <c r="C3106" s="92"/>
      <c r="D3106" s="166"/>
      <c r="E3106" s="93" t="s">
        <v>651</v>
      </c>
      <c r="F3106" s="94"/>
      <c r="G3106" s="91"/>
      <c r="H3106" s="95"/>
      <c r="I3106" s="96">
        <f>I3117</f>
        <v>3991492.45</v>
      </c>
      <c r="J3106" s="191"/>
      <c r="K3106" s="96">
        <f>K3117</f>
        <v>4464484.32</v>
      </c>
      <c r="L3106" s="96"/>
      <c r="M3106" s="207"/>
      <c r="N3106" s="209"/>
      <c r="O3106" s="138"/>
      <c r="S3106" s="72"/>
      <c r="T3106" s="72"/>
      <c r="U3106" s="72"/>
      <c r="V3106" s="72"/>
    </row>
    <row r="3107" spans="1:22" s="278" customFormat="1" ht="15" x14ac:dyDescent="0.25">
      <c r="A3107" s="216"/>
      <c r="B3107" s="217"/>
      <c r="C3107" s="217"/>
      <c r="D3107" s="248"/>
      <c r="E3107" s="218" t="s">
        <v>3200</v>
      </c>
      <c r="F3107" s="219"/>
      <c r="G3107" s="216"/>
      <c r="H3107" s="220"/>
      <c r="I3107" s="221"/>
      <c r="J3107" s="244"/>
      <c r="K3107" s="221"/>
      <c r="L3107" s="221"/>
      <c r="M3107" s="222"/>
      <c r="N3107" s="223"/>
      <c r="O3107" s="245"/>
      <c r="S3107" s="225"/>
      <c r="T3107" s="225"/>
      <c r="U3107" s="225"/>
      <c r="V3107" s="225"/>
    </row>
    <row r="3108" spans="1:22" s="63" customFormat="1" ht="22.5" x14ac:dyDescent="0.25">
      <c r="A3108" s="80">
        <v>25.1</v>
      </c>
      <c r="B3108" s="81" t="s">
        <v>90</v>
      </c>
      <c r="C3108" s="82">
        <v>3</v>
      </c>
      <c r="D3108" s="131" t="s">
        <v>2785</v>
      </c>
      <c r="E3108" s="83" t="s">
        <v>2786</v>
      </c>
      <c r="F3108" s="81" t="s">
        <v>193</v>
      </c>
      <c r="G3108" s="89">
        <v>0.77361999999999997</v>
      </c>
      <c r="H3108" s="85"/>
      <c r="I3108" s="86">
        <v>5156.66</v>
      </c>
      <c r="J3108" s="185">
        <f>ROUND($I3108/$G3108*$N$11,2)</f>
        <v>7589.48</v>
      </c>
      <c r="K3108" s="189">
        <f>ROUND(G3108*J3108,2)</f>
        <v>5871.37</v>
      </c>
      <c r="L3108" s="189"/>
      <c r="M3108" s="138"/>
      <c r="N3108" s="138"/>
      <c r="O3108" s="138"/>
      <c r="S3108" s="72"/>
      <c r="T3108" s="72"/>
      <c r="U3108" s="72"/>
      <c r="V3108" s="72"/>
    </row>
    <row r="3109" spans="1:22" s="63" customFormat="1" ht="15" x14ac:dyDescent="0.25">
      <c r="A3109" s="80">
        <v>25.2</v>
      </c>
      <c r="B3109" s="81" t="s">
        <v>90</v>
      </c>
      <c r="C3109" s="82">
        <v>4</v>
      </c>
      <c r="D3109" s="131" t="s">
        <v>2787</v>
      </c>
      <c r="E3109" s="83" t="s">
        <v>2788</v>
      </c>
      <c r="F3109" s="81" t="s">
        <v>196</v>
      </c>
      <c r="G3109" s="88">
        <v>0.1178</v>
      </c>
      <c r="H3109" s="85"/>
      <c r="I3109" s="86">
        <v>7460.36</v>
      </c>
      <c r="J3109" s="185">
        <f>ROUND($I3109/$G3109*$N$11,2)</f>
        <v>72108.37</v>
      </c>
      <c r="K3109" s="189">
        <f>ROUND(G3109*J3109,2)</f>
        <v>8494.3700000000008</v>
      </c>
      <c r="L3109" s="189"/>
      <c r="M3109" s="138"/>
      <c r="N3109" s="138"/>
      <c r="O3109" s="138"/>
      <c r="S3109" s="72"/>
      <c r="T3109" s="72"/>
      <c r="U3109" s="72"/>
      <c r="V3109" s="72"/>
    </row>
    <row r="3110" spans="1:22" s="63" customFormat="1" ht="22.5" x14ac:dyDescent="0.25">
      <c r="A3110" s="80">
        <v>25.3</v>
      </c>
      <c r="B3110" s="81" t="s">
        <v>90</v>
      </c>
      <c r="C3110" s="80">
        <v>4.0999999999999996</v>
      </c>
      <c r="D3110" s="131" t="s">
        <v>2293</v>
      </c>
      <c r="E3110" s="83" t="s">
        <v>2294</v>
      </c>
      <c r="F3110" s="81" t="s">
        <v>205</v>
      </c>
      <c r="G3110" s="80">
        <v>785.4</v>
      </c>
      <c r="H3110" s="85"/>
      <c r="I3110" s="86">
        <v>952138.55</v>
      </c>
      <c r="J3110" s="185">
        <f>ROUND($I3110/$G3110*$N$11,2)</f>
        <v>1380.32</v>
      </c>
      <c r="K3110" s="189">
        <f>ROUND(G3110*J3110,2)</f>
        <v>1084103.33</v>
      </c>
      <c r="L3110" s="189"/>
      <c r="M3110" s="138"/>
      <c r="N3110" s="138"/>
      <c r="O3110" s="138"/>
      <c r="S3110" s="72"/>
      <c r="T3110" s="72"/>
      <c r="U3110" s="72"/>
      <c r="V3110" s="72"/>
    </row>
    <row r="3111" spans="1:22" s="63" customFormat="1" ht="15" x14ac:dyDescent="0.25">
      <c r="A3111" s="80">
        <v>25.4</v>
      </c>
      <c r="B3111" s="81" t="s">
        <v>90</v>
      </c>
      <c r="C3111" s="82">
        <v>5</v>
      </c>
      <c r="D3111" s="131" t="s">
        <v>201</v>
      </c>
      <c r="E3111" s="83" t="s">
        <v>202</v>
      </c>
      <c r="F3111" s="81" t="s">
        <v>196</v>
      </c>
      <c r="G3111" s="88">
        <v>7.7362000000000002</v>
      </c>
      <c r="H3111" s="85"/>
      <c r="I3111" s="86">
        <v>126324.32</v>
      </c>
      <c r="J3111" s="185">
        <f>ROUND($I3111/$G3111*$N$11,2)</f>
        <v>18592.189999999999</v>
      </c>
      <c r="K3111" s="189">
        <f>ROUND(G3111*J3111,2)</f>
        <v>143832.9</v>
      </c>
      <c r="L3111" s="189"/>
      <c r="M3111" s="138"/>
      <c r="N3111" s="138"/>
      <c r="O3111" s="138"/>
      <c r="S3111" s="72"/>
      <c r="T3111" s="72"/>
      <c r="U3111" s="72"/>
      <c r="V3111" s="72"/>
    </row>
    <row r="3112" spans="1:22" s="128" customFormat="1" ht="12.75" x14ac:dyDescent="0.25">
      <c r="A3112" s="236"/>
      <c r="B3112" s="125"/>
      <c r="C3112" s="76"/>
      <c r="D3112" s="77"/>
      <c r="E3112" s="126" t="s">
        <v>3397</v>
      </c>
      <c r="F3112" s="125"/>
      <c r="G3112" s="240"/>
      <c r="H3112" s="127"/>
      <c r="I3112" s="78"/>
      <c r="J3112" s="238"/>
      <c r="K3112" s="239"/>
      <c r="L3112" s="239"/>
      <c r="M3112" s="79"/>
      <c r="N3112" s="79"/>
      <c r="O3112" s="79"/>
      <c r="S3112" s="129"/>
      <c r="T3112" s="129"/>
      <c r="U3112" s="129"/>
      <c r="V3112" s="129"/>
    </row>
    <row r="3113" spans="1:22" s="63" customFormat="1" ht="15" x14ac:dyDescent="0.25">
      <c r="A3113" s="80">
        <v>25.5</v>
      </c>
      <c r="B3113" s="81" t="s">
        <v>90</v>
      </c>
      <c r="C3113" s="82">
        <v>12</v>
      </c>
      <c r="D3113" s="131" t="s">
        <v>2789</v>
      </c>
      <c r="E3113" s="83" t="s">
        <v>2790</v>
      </c>
      <c r="F3113" s="81" t="s">
        <v>205</v>
      </c>
      <c r="G3113" s="82">
        <v>17</v>
      </c>
      <c r="H3113" s="85"/>
      <c r="I3113" s="86">
        <v>68206.929999999993</v>
      </c>
      <c r="J3113" s="185">
        <f>ROUND($I3113/$G3113*$N$11,2)</f>
        <v>4568.26</v>
      </c>
      <c r="K3113" s="189">
        <f>ROUND(G3113*J3113,2)</f>
        <v>77660.42</v>
      </c>
      <c r="L3113" s="189"/>
      <c r="M3113" s="138"/>
      <c r="N3113" s="138"/>
      <c r="O3113" s="138"/>
      <c r="S3113" s="72"/>
      <c r="T3113" s="72"/>
      <c r="U3113" s="72"/>
      <c r="V3113" s="72"/>
    </row>
    <row r="3114" spans="1:22" s="63" customFormat="1" ht="22.5" x14ac:dyDescent="0.25">
      <c r="A3114" s="80">
        <v>25.6</v>
      </c>
      <c r="B3114" s="81" t="s">
        <v>90</v>
      </c>
      <c r="C3114" s="80">
        <v>12.1</v>
      </c>
      <c r="D3114" s="131" t="s">
        <v>2372</v>
      </c>
      <c r="E3114" s="83" t="s">
        <v>2373</v>
      </c>
      <c r="F3114" s="81" t="s">
        <v>205</v>
      </c>
      <c r="G3114" s="80">
        <v>20.399999999999999</v>
      </c>
      <c r="H3114" s="85"/>
      <c r="I3114" s="86">
        <v>27078.58</v>
      </c>
      <c r="J3114" s="185">
        <f>ROUND($I3114/$G3114*$N$11,2)</f>
        <v>1511.36</v>
      </c>
      <c r="K3114" s="189">
        <f>ROUND(G3114*J3114,2)</f>
        <v>30831.74</v>
      </c>
      <c r="L3114" s="189"/>
      <c r="M3114" s="138"/>
      <c r="N3114" s="138"/>
      <c r="O3114" s="138"/>
      <c r="S3114" s="72"/>
      <c r="T3114" s="72"/>
      <c r="U3114" s="72"/>
      <c r="V3114" s="72"/>
    </row>
    <row r="3115" spans="1:22" s="128" customFormat="1" ht="12.75" x14ac:dyDescent="0.25">
      <c r="A3115" s="236"/>
      <c r="B3115" s="125"/>
      <c r="C3115" s="236"/>
      <c r="D3115" s="77"/>
      <c r="E3115" s="126" t="s">
        <v>91</v>
      </c>
      <c r="F3115" s="125"/>
      <c r="G3115" s="236"/>
      <c r="H3115" s="127"/>
      <c r="I3115" s="78"/>
      <c r="J3115" s="238"/>
      <c r="K3115" s="239"/>
      <c r="L3115" s="239"/>
      <c r="M3115" s="79"/>
      <c r="N3115" s="79"/>
      <c r="O3115" s="79"/>
      <c r="S3115" s="129"/>
      <c r="T3115" s="129"/>
      <c r="U3115" s="129"/>
      <c r="V3115" s="129"/>
    </row>
    <row r="3116" spans="1:22" s="63" customFormat="1" ht="22.5" x14ac:dyDescent="0.25">
      <c r="A3116" s="80">
        <v>25.7</v>
      </c>
      <c r="B3116" s="81" t="s">
        <v>90</v>
      </c>
      <c r="C3116" s="82">
        <v>13</v>
      </c>
      <c r="D3116" s="131" t="s">
        <v>2791</v>
      </c>
      <c r="E3116" s="83" t="s">
        <v>2792</v>
      </c>
      <c r="F3116" s="81" t="s">
        <v>219</v>
      </c>
      <c r="G3116" s="82">
        <v>4</v>
      </c>
      <c r="H3116" s="85"/>
      <c r="I3116" s="86">
        <v>408548.17</v>
      </c>
      <c r="J3116" s="185">
        <f>ROUND($I3116/$G3116*$N$11,2)</f>
        <v>116293.24</v>
      </c>
      <c r="K3116" s="189">
        <f>ROUND(G3116*J3116,2)</f>
        <v>465172.96</v>
      </c>
      <c r="L3116" s="189"/>
      <c r="M3116" s="138"/>
      <c r="N3116" s="138"/>
      <c r="O3116" s="138"/>
      <c r="S3116" s="72"/>
      <c r="T3116" s="72"/>
      <c r="U3116" s="72"/>
      <c r="V3116" s="72"/>
    </row>
    <row r="3117" spans="1:22" s="63" customFormat="1" ht="33.75" x14ac:dyDescent="0.25">
      <c r="A3117" s="103">
        <v>25.8</v>
      </c>
      <c r="B3117" s="102" t="s">
        <v>90</v>
      </c>
      <c r="C3117" s="103">
        <v>13.1</v>
      </c>
      <c r="D3117" s="167" t="s">
        <v>2793</v>
      </c>
      <c r="E3117" s="104" t="s">
        <v>2794</v>
      </c>
      <c r="F3117" s="102" t="s">
        <v>219</v>
      </c>
      <c r="G3117" s="105">
        <v>4</v>
      </c>
      <c r="H3117" s="106"/>
      <c r="I3117" s="107">
        <v>3991492.45</v>
      </c>
      <c r="J3117" s="192">
        <f>ROUND($I3117/$G3117*$N$12,2)</f>
        <v>1116121.08</v>
      </c>
      <c r="K3117" s="193">
        <f>ROUND(G3117*J3117,2)</f>
        <v>4464484.32</v>
      </c>
      <c r="L3117" s="193"/>
      <c r="M3117" s="138"/>
      <c r="N3117" s="138"/>
      <c r="O3117" s="138"/>
      <c r="S3117" s="72"/>
      <c r="T3117" s="72"/>
      <c r="U3117" s="72"/>
      <c r="V3117" s="72"/>
    </row>
    <row r="3118" spans="1:22" s="63" customFormat="1" ht="22.5" x14ac:dyDescent="0.25">
      <c r="A3118" s="80">
        <v>25.9</v>
      </c>
      <c r="B3118" s="81" t="s">
        <v>90</v>
      </c>
      <c r="C3118" s="82">
        <v>14</v>
      </c>
      <c r="D3118" s="131" t="s">
        <v>2795</v>
      </c>
      <c r="E3118" s="83" t="s">
        <v>2796</v>
      </c>
      <c r="F3118" s="81" t="s">
        <v>219</v>
      </c>
      <c r="G3118" s="82">
        <v>28</v>
      </c>
      <c r="H3118" s="85"/>
      <c r="I3118" s="86">
        <v>11916.3</v>
      </c>
      <c r="J3118" s="185">
        <f>ROUND($I3118/$G3118*$N$11,2)</f>
        <v>484.57</v>
      </c>
      <c r="K3118" s="189">
        <f>ROUND(G3118*J3118,2)</f>
        <v>13567.96</v>
      </c>
      <c r="L3118" s="189"/>
      <c r="M3118" s="138"/>
      <c r="N3118" s="138"/>
      <c r="O3118" s="138"/>
      <c r="S3118" s="72"/>
      <c r="T3118" s="72"/>
      <c r="U3118" s="72"/>
      <c r="V3118" s="72"/>
    </row>
    <row r="3119" spans="1:22" s="63" customFormat="1" ht="15" x14ac:dyDescent="0.25">
      <c r="A3119" s="87">
        <v>25.1</v>
      </c>
      <c r="B3119" s="81" t="s">
        <v>90</v>
      </c>
      <c r="C3119" s="82">
        <v>15</v>
      </c>
      <c r="D3119" s="131" t="s">
        <v>2797</v>
      </c>
      <c r="E3119" s="83" t="s">
        <v>2798</v>
      </c>
      <c r="F3119" s="81" t="s">
        <v>196</v>
      </c>
      <c r="G3119" s="87">
        <v>0.24</v>
      </c>
      <c r="H3119" s="85"/>
      <c r="I3119" s="86">
        <v>2511.08</v>
      </c>
      <c r="J3119" s="185">
        <f>ROUND($I3119/$G3119*$N$11,2)</f>
        <v>11912.98</v>
      </c>
      <c r="K3119" s="189">
        <f>ROUND(G3119*J3119,2)</f>
        <v>2859.12</v>
      </c>
      <c r="L3119" s="189"/>
      <c r="M3119" s="138"/>
      <c r="N3119" s="138"/>
      <c r="O3119" s="138"/>
      <c r="S3119" s="72"/>
      <c r="T3119" s="72"/>
      <c r="U3119" s="72"/>
      <c r="V3119" s="72"/>
    </row>
    <row r="3120" spans="1:22" s="63" customFormat="1" ht="22.5" x14ac:dyDescent="0.25">
      <c r="A3120" s="87">
        <v>25.11</v>
      </c>
      <c r="B3120" s="81" t="s">
        <v>90</v>
      </c>
      <c r="C3120" s="80">
        <v>15.1</v>
      </c>
      <c r="D3120" s="131" t="s">
        <v>2799</v>
      </c>
      <c r="E3120" s="83" t="s">
        <v>2800</v>
      </c>
      <c r="F3120" s="81" t="s">
        <v>226</v>
      </c>
      <c r="G3120" s="88">
        <v>-9.5999999999999992E-3</v>
      </c>
      <c r="H3120" s="85"/>
      <c r="I3120" s="86">
        <v>-151.32</v>
      </c>
      <c r="J3120" s="185">
        <f>ROUND($I3120/$G3120*$N$11,2)</f>
        <v>17947.18</v>
      </c>
      <c r="K3120" s="189">
        <f>ROUND(G3120*J3120,2)</f>
        <v>-172.29</v>
      </c>
      <c r="L3120" s="189"/>
      <c r="M3120" s="138"/>
      <c r="N3120" s="138"/>
      <c r="O3120" s="138"/>
      <c r="S3120" s="72"/>
      <c r="T3120" s="72"/>
      <c r="U3120" s="72"/>
      <c r="V3120" s="72"/>
    </row>
    <row r="3121" spans="1:22" s="63" customFormat="1" ht="15" x14ac:dyDescent="0.25">
      <c r="A3121" s="194">
        <v>26</v>
      </c>
      <c r="B3121" s="418" t="s">
        <v>2801</v>
      </c>
      <c r="C3121" s="418"/>
      <c r="D3121" s="418"/>
      <c r="E3121" s="195" t="s">
        <v>93</v>
      </c>
      <c r="F3121" s="196"/>
      <c r="G3121" s="194"/>
      <c r="H3121" s="197">
        <v>6342131.4900000002</v>
      </c>
      <c r="I3121" s="355">
        <f>SUM(I3124:I3159)</f>
        <v>6342131.5</v>
      </c>
      <c r="J3121" s="200"/>
      <c r="K3121" s="198">
        <f>SUM(K3124:K3159)</f>
        <v>7107274.6199999992</v>
      </c>
      <c r="L3121" s="198"/>
      <c r="M3121" s="207"/>
      <c r="N3121" s="209"/>
      <c r="O3121" s="138"/>
      <c r="S3121" s="72"/>
      <c r="T3121" s="72"/>
      <c r="U3121" s="72"/>
      <c r="V3121" s="72"/>
    </row>
    <row r="3122" spans="1:22" s="63" customFormat="1" ht="15" x14ac:dyDescent="0.25">
      <c r="A3122" s="91"/>
      <c r="B3122" s="92"/>
      <c r="C3122" s="92"/>
      <c r="D3122" s="166"/>
      <c r="E3122" s="93" t="s">
        <v>651</v>
      </c>
      <c r="F3122" s="94"/>
      <c r="G3122" s="91"/>
      <c r="H3122" s="95"/>
      <c r="I3122" s="96">
        <f>I3156</f>
        <v>5665484.4100000001</v>
      </c>
      <c r="J3122" s="191"/>
      <c r="K3122" s="96">
        <f>K3156</f>
        <v>6336844.3099999996</v>
      </c>
      <c r="L3122" s="96"/>
      <c r="M3122" s="207"/>
      <c r="N3122" s="209"/>
      <c r="O3122" s="138"/>
      <c r="S3122" s="72"/>
      <c r="T3122" s="72"/>
      <c r="U3122" s="72"/>
      <c r="V3122" s="72"/>
    </row>
    <row r="3123" spans="1:22" s="278" customFormat="1" ht="15" x14ac:dyDescent="0.25">
      <c r="A3123" s="216"/>
      <c r="B3123" s="217"/>
      <c r="C3123" s="217"/>
      <c r="D3123" s="248"/>
      <c r="E3123" s="218" t="s">
        <v>3200</v>
      </c>
      <c r="F3123" s="219"/>
      <c r="G3123" s="216"/>
      <c r="H3123" s="220"/>
      <c r="I3123" s="221"/>
      <c r="J3123" s="244"/>
      <c r="K3123" s="221"/>
      <c r="L3123" s="221"/>
      <c r="M3123" s="222"/>
      <c r="N3123" s="223"/>
      <c r="O3123" s="245"/>
      <c r="S3123" s="225"/>
      <c r="T3123" s="225"/>
      <c r="U3123" s="225"/>
      <c r="V3123" s="225"/>
    </row>
    <row r="3124" spans="1:22" s="63" customFormat="1" ht="22.5" x14ac:dyDescent="0.25">
      <c r="A3124" s="80">
        <v>26.1</v>
      </c>
      <c r="B3124" s="81" t="s">
        <v>92</v>
      </c>
      <c r="C3124" s="82">
        <v>3</v>
      </c>
      <c r="D3124" s="131" t="s">
        <v>2785</v>
      </c>
      <c r="E3124" s="83" t="s">
        <v>2786</v>
      </c>
      <c r="F3124" s="81" t="s">
        <v>193</v>
      </c>
      <c r="G3124" s="89">
        <v>0.43536999999999998</v>
      </c>
      <c r="H3124" s="85"/>
      <c r="I3124" s="86">
        <f>2901.9+0.01</f>
        <v>2901.9100000000003</v>
      </c>
      <c r="J3124" s="185">
        <f>ROUND($I3124/$G3124*$N$11,2)</f>
        <v>7589.21</v>
      </c>
      <c r="K3124" s="189">
        <f>ROUND(G3124*J3124,2)</f>
        <v>3304.11</v>
      </c>
      <c r="L3124" s="189"/>
      <c r="M3124" s="138"/>
      <c r="N3124" s="138"/>
      <c r="O3124" s="138"/>
      <c r="S3124" s="72"/>
      <c r="T3124" s="72"/>
      <c r="U3124" s="72"/>
      <c r="V3124" s="72"/>
    </row>
    <row r="3125" spans="1:22" s="63" customFormat="1" ht="15" x14ac:dyDescent="0.25">
      <c r="A3125" s="80">
        <v>26.2</v>
      </c>
      <c r="B3125" s="81" t="s">
        <v>92</v>
      </c>
      <c r="C3125" s="82">
        <v>4</v>
      </c>
      <c r="D3125" s="131" t="s">
        <v>2787</v>
      </c>
      <c r="E3125" s="83" t="s">
        <v>2788</v>
      </c>
      <c r="F3125" s="81" t="s">
        <v>196</v>
      </c>
      <c r="G3125" s="88">
        <v>6.6299999999999998E-2</v>
      </c>
      <c r="H3125" s="85"/>
      <c r="I3125" s="86">
        <v>4198.53</v>
      </c>
      <c r="J3125" s="185">
        <f>ROUND($I3125/$G3125*$N$11,2)</f>
        <v>72103.259999999995</v>
      </c>
      <c r="K3125" s="189">
        <f>ROUND(G3125*J3125,2)</f>
        <v>4780.45</v>
      </c>
      <c r="L3125" s="189"/>
      <c r="M3125" s="138"/>
      <c r="N3125" s="138"/>
      <c r="O3125" s="138"/>
      <c r="S3125" s="72"/>
      <c r="T3125" s="72"/>
      <c r="U3125" s="72"/>
      <c r="V3125" s="72"/>
    </row>
    <row r="3126" spans="1:22" s="63" customFormat="1" ht="15" x14ac:dyDescent="0.25">
      <c r="A3126" s="80">
        <v>26.3</v>
      </c>
      <c r="B3126" s="81" t="s">
        <v>92</v>
      </c>
      <c r="C3126" s="82">
        <v>5</v>
      </c>
      <c r="D3126" s="131" t="s">
        <v>201</v>
      </c>
      <c r="E3126" s="83" t="s">
        <v>202</v>
      </c>
      <c r="F3126" s="81" t="s">
        <v>196</v>
      </c>
      <c r="G3126" s="88">
        <v>4.3536999999999999</v>
      </c>
      <c r="H3126" s="85"/>
      <c r="I3126" s="86">
        <v>71091.47</v>
      </c>
      <c r="J3126" s="185">
        <f>ROUND($I3126/$G3126*$N$11,2)</f>
        <v>18592.169999999998</v>
      </c>
      <c r="K3126" s="189">
        <f>ROUND(G3126*J3126,2)</f>
        <v>80944.73</v>
      </c>
      <c r="L3126" s="189"/>
      <c r="M3126" s="138"/>
      <c r="N3126" s="138"/>
      <c r="O3126" s="138"/>
      <c r="S3126" s="72"/>
      <c r="T3126" s="72"/>
      <c r="U3126" s="72"/>
      <c r="V3126" s="72"/>
    </row>
    <row r="3127" spans="1:22" s="128" customFormat="1" ht="12.75" x14ac:dyDescent="0.25">
      <c r="A3127" s="236"/>
      <c r="B3127" s="125"/>
      <c r="C3127" s="76"/>
      <c r="D3127" s="77"/>
      <c r="E3127" s="126" t="s">
        <v>3398</v>
      </c>
      <c r="F3127" s="125"/>
      <c r="G3127" s="240"/>
      <c r="H3127" s="127"/>
      <c r="I3127" s="78"/>
      <c r="J3127" s="238"/>
      <c r="K3127" s="239"/>
      <c r="L3127" s="239"/>
      <c r="M3127" s="79"/>
      <c r="N3127" s="79"/>
      <c r="O3127" s="79"/>
      <c r="S3127" s="129"/>
      <c r="T3127" s="129"/>
      <c r="U3127" s="129"/>
      <c r="V3127" s="129"/>
    </row>
    <row r="3128" spans="1:22" s="128" customFormat="1" ht="12.75" x14ac:dyDescent="0.25">
      <c r="A3128" s="236"/>
      <c r="B3128" s="125"/>
      <c r="C3128" s="76"/>
      <c r="D3128" s="77"/>
      <c r="E3128" s="126" t="s">
        <v>3399</v>
      </c>
      <c r="F3128" s="125"/>
      <c r="G3128" s="240"/>
      <c r="H3128" s="127"/>
      <c r="I3128" s="78"/>
      <c r="J3128" s="238"/>
      <c r="K3128" s="239"/>
      <c r="L3128" s="239"/>
      <c r="M3128" s="79"/>
      <c r="N3128" s="79"/>
      <c r="O3128" s="79"/>
      <c r="S3128" s="129"/>
      <c r="T3128" s="129"/>
      <c r="U3128" s="129"/>
      <c r="V3128" s="129"/>
    </row>
    <row r="3129" spans="1:22" s="63" customFormat="1" ht="22.5" x14ac:dyDescent="0.25">
      <c r="A3129" s="80">
        <v>26.4</v>
      </c>
      <c r="B3129" s="81" t="s">
        <v>92</v>
      </c>
      <c r="C3129" s="82">
        <v>11</v>
      </c>
      <c r="D3129" s="131" t="s">
        <v>2802</v>
      </c>
      <c r="E3129" s="83" t="s">
        <v>2803</v>
      </c>
      <c r="F3129" s="81" t="s">
        <v>196</v>
      </c>
      <c r="G3129" s="84">
        <v>0.14599999999999999</v>
      </c>
      <c r="H3129" s="85"/>
      <c r="I3129" s="86">
        <v>120300.8</v>
      </c>
      <c r="J3129" s="185">
        <f t="shared" ref="J3129:J3136" si="304">ROUND($I3129/$G3129*$N$11,2)</f>
        <v>938181.44</v>
      </c>
      <c r="K3129" s="189">
        <f t="shared" ref="K3129:K3136" si="305">ROUND(G3129*J3129,2)</f>
        <v>136974.49</v>
      </c>
      <c r="L3129" s="189"/>
      <c r="M3129" s="138"/>
      <c r="N3129" s="138"/>
      <c r="O3129" s="138"/>
      <c r="S3129" s="72"/>
      <c r="T3129" s="72"/>
      <c r="U3129" s="72"/>
      <c r="V3129" s="72"/>
    </row>
    <row r="3130" spans="1:22" s="63" customFormat="1" ht="22.5" x14ac:dyDescent="0.25">
      <c r="A3130" s="80">
        <v>26.5</v>
      </c>
      <c r="B3130" s="81" t="s">
        <v>92</v>
      </c>
      <c r="C3130" s="80">
        <v>11.1</v>
      </c>
      <c r="D3130" s="131" t="s">
        <v>233</v>
      </c>
      <c r="E3130" s="83" t="s">
        <v>234</v>
      </c>
      <c r="F3130" s="81" t="s">
        <v>205</v>
      </c>
      <c r="G3130" s="87">
        <v>14.82</v>
      </c>
      <c r="H3130" s="85"/>
      <c r="I3130" s="86">
        <v>111941.64</v>
      </c>
      <c r="J3130" s="185">
        <f t="shared" si="304"/>
        <v>8600.32</v>
      </c>
      <c r="K3130" s="189">
        <f t="shared" si="305"/>
        <v>127456.74</v>
      </c>
      <c r="L3130" s="189"/>
      <c r="M3130" s="138"/>
      <c r="N3130" s="138"/>
      <c r="O3130" s="138"/>
      <c r="S3130" s="72"/>
      <c r="T3130" s="72"/>
      <c r="U3130" s="72"/>
      <c r="V3130" s="72"/>
    </row>
    <row r="3131" spans="1:22" s="63" customFormat="1" ht="22.5" x14ac:dyDescent="0.25">
      <c r="A3131" s="80">
        <v>26.6</v>
      </c>
      <c r="B3131" s="81" t="s">
        <v>92</v>
      </c>
      <c r="C3131" s="80">
        <v>11.2</v>
      </c>
      <c r="D3131" s="131" t="s">
        <v>235</v>
      </c>
      <c r="E3131" s="83" t="s">
        <v>3433</v>
      </c>
      <c r="F3131" s="81" t="s">
        <v>205</v>
      </c>
      <c r="G3131" s="87">
        <v>14.82</v>
      </c>
      <c r="H3131" s="85"/>
      <c r="I3131" s="86">
        <v>1699.01</v>
      </c>
      <c r="J3131" s="185">
        <f t="shared" si="304"/>
        <v>130.53</v>
      </c>
      <c r="K3131" s="189">
        <f t="shared" si="305"/>
        <v>1934.45</v>
      </c>
      <c r="L3131" s="189"/>
      <c r="M3131" s="138"/>
      <c r="N3131" s="138"/>
      <c r="O3131" s="138"/>
      <c r="S3131" s="72"/>
      <c r="T3131" s="72"/>
      <c r="U3131" s="72"/>
      <c r="V3131" s="72"/>
    </row>
    <row r="3132" spans="1:22" s="63" customFormat="1" ht="22.5" x14ac:dyDescent="0.25">
      <c r="A3132" s="80">
        <v>26.7</v>
      </c>
      <c r="B3132" s="81" t="s">
        <v>92</v>
      </c>
      <c r="C3132" s="80">
        <v>11.3</v>
      </c>
      <c r="D3132" s="131" t="s">
        <v>2804</v>
      </c>
      <c r="E3132" s="83" t="s">
        <v>2805</v>
      </c>
      <c r="F3132" s="81" t="s">
        <v>226</v>
      </c>
      <c r="G3132" s="88">
        <v>1.1518999999999999</v>
      </c>
      <c r="H3132" s="85"/>
      <c r="I3132" s="86">
        <v>56143.09</v>
      </c>
      <c r="J3132" s="185">
        <f t="shared" si="304"/>
        <v>55494.85</v>
      </c>
      <c r="K3132" s="189">
        <f t="shared" si="305"/>
        <v>63924.52</v>
      </c>
      <c r="L3132" s="189"/>
      <c r="M3132" s="138"/>
      <c r="N3132" s="138"/>
      <c r="O3132" s="138"/>
      <c r="S3132" s="72"/>
      <c r="T3132" s="72"/>
      <c r="U3132" s="72"/>
      <c r="V3132" s="72"/>
    </row>
    <row r="3133" spans="1:22" s="63" customFormat="1" ht="22.5" x14ac:dyDescent="0.25">
      <c r="A3133" s="80">
        <v>26.8</v>
      </c>
      <c r="B3133" s="81" t="s">
        <v>92</v>
      </c>
      <c r="C3133" s="80">
        <v>11.4</v>
      </c>
      <c r="D3133" s="131" t="s">
        <v>227</v>
      </c>
      <c r="E3133" s="83" t="s">
        <v>228</v>
      </c>
      <c r="F3133" s="81" t="s">
        <v>226</v>
      </c>
      <c r="G3133" s="84">
        <v>0.88200000000000001</v>
      </c>
      <c r="H3133" s="85"/>
      <c r="I3133" s="86">
        <v>42988.26</v>
      </c>
      <c r="J3133" s="185">
        <f t="shared" si="304"/>
        <v>55494.82</v>
      </c>
      <c r="K3133" s="189">
        <f t="shared" si="305"/>
        <v>48946.43</v>
      </c>
      <c r="L3133" s="189"/>
      <c r="M3133" s="138"/>
      <c r="N3133" s="138"/>
      <c r="O3133" s="138"/>
      <c r="S3133" s="72"/>
      <c r="T3133" s="72"/>
      <c r="U3133" s="72"/>
      <c r="V3133" s="72"/>
    </row>
    <row r="3134" spans="1:22" s="63" customFormat="1" ht="22.5" x14ac:dyDescent="0.25">
      <c r="A3134" s="80">
        <v>26.9</v>
      </c>
      <c r="B3134" s="81" t="s">
        <v>92</v>
      </c>
      <c r="C3134" s="80">
        <v>11.5</v>
      </c>
      <c r="D3134" s="131" t="s">
        <v>224</v>
      </c>
      <c r="E3134" s="83" t="s">
        <v>225</v>
      </c>
      <c r="F3134" s="81" t="s">
        <v>226</v>
      </c>
      <c r="G3134" s="84">
        <v>3.1E-2</v>
      </c>
      <c r="H3134" s="85"/>
      <c r="I3134" s="86">
        <v>1530.2</v>
      </c>
      <c r="J3134" s="185">
        <f t="shared" si="304"/>
        <v>56202.77</v>
      </c>
      <c r="K3134" s="189">
        <f t="shared" si="305"/>
        <v>1742.29</v>
      </c>
      <c r="L3134" s="189"/>
      <c r="M3134" s="138"/>
      <c r="N3134" s="138"/>
      <c r="O3134" s="138"/>
      <c r="S3134" s="72"/>
      <c r="T3134" s="72"/>
      <c r="U3134" s="72"/>
      <c r="V3134" s="72"/>
    </row>
    <row r="3135" spans="1:22" s="63" customFormat="1" ht="15" x14ac:dyDescent="0.25">
      <c r="A3135" s="87">
        <v>26.1</v>
      </c>
      <c r="B3135" s="81" t="s">
        <v>92</v>
      </c>
      <c r="C3135" s="82">
        <v>12</v>
      </c>
      <c r="D3135" s="131" t="s">
        <v>280</v>
      </c>
      <c r="E3135" s="83" t="s">
        <v>281</v>
      </c>
      <c r="F3135" s="81" t="s">
        <v>226</v>
      </c>
      <c r="G3135" s="89">
        <v>2.1440000000000001E-2</v>
      </c>
      <c r="H3135" s="85"/>
      <c r="I3135" s="86">
        <v>4561.58</v>
      </c>
      <c r="J3135" s="185">
        <f t="shared" si="304"/>
        <v>242248.83</v>
      </c>
      <c r="K3135" s="189">
        <f t="shared" si="305"/>
        <v>5193.8100000000004</v>
      </c>
      <c r="L3135" s="189"/>
      <c r="M3135" s="138"/>
      <c r="N3135" s="138"/>
      <c r="O3135" s="138"/>
      <c r="S3135" s="72"/>
      <c r="T3135" s="72"/>
      <c r="U3135" s="72"/>
      <c r="V3135" s="72"/>
    </row>
    <row r="3136" spans="1:22" s="63" customFormat="1" ht="33.75" x14ac:dyDescent="0.25">
      <c r="A3136" s="87">
        <v>26.11</v>
      </c>
      <c r="B3136" s="81" t="s">
        <v>92</v>
      </c>
      <c r="C3136" s="80">
        <v>12.1</v>
      </c>
      <c r="D3136" s="131" t="s">
        <v>2806</v>
      </c>
      <c r="E3136" s="83" t="s">
        <v>2807</v>
      </c>
      <c r="F3136" s="81" t="s">
        <v>772</v>
      </c>
      <c r="G3136" s="87">
        <v>0.12</v>
      </c>
      <c r="H3136" s="85"/>
      <c r="I3136" s="86">
        <v>27591.14</v>
      </c>
      <c r="J3136" s="185">
        <f t="shared" si="304"/>
        <v>261793.93</v>
      </c>
      <c r="K3136" s="189">
        <f t="shared" si="305"/>
        <v>31415.27</v>
      </c>
      <c r="L3136" s="189"/>
      <c r="M3136" s="138"/>
      <c r="N3136" s="138"/>
      <c r="O3136" s="138"/>
      <c r="S3136" s="72"/>
      <c r="T3136" s="72"/>
      <c r="U3136" s="72"/>
      <c r="V3136" s="72"/>
    </row>
    <row r="3137" spans="1:22" s="128" customFormat="1" ht="12.75" x14ac:dyDescent="0.25">
      <c r="A3137" s="237"/>
      <c r="B3137" s="125"/>
      <c r="C3137" s="236"/>
      <c r="D3137" s="77"/>
      <c r="E3137" s="126" t="s">
        <v>3217</v>
      </c>
      <c r="F3137" s="125"/>
      <c r="G3137" s="237"/>
      <c r="H3137" s="127"/>
      <c r="I3137" s="78"/>
      <c r="J3137" s="238"/>
      <c r="K3137" s="239"/>
      <c r="L3137" s="239"/>
      <c r="M3137" s="79"/>
      <c r="N3137" s="79"/>
      <c r="O3137" s="79"/>
      <c r="S3137" s="129"/>
      <c r="T3137" s="129"/>
      <c r="U3137" s="129"/>
      <c r="V3137" s="129"/>
    </row>
    <row r="3138" spans="1:22" s="63" customFormat="1" ht="22.5" x14ac:dyDescent="0.25">
      <c r="A3138" s="87">
        <v>26.12</v>
      </c>
      <c r="B3138" s="81" t="s">
        <v>92</v>
      </c>
      <c r="C3138" s="82">
        <v>13</v>
      </c>
      <c r="D3138" s="131" t="s">
        <v>2624</v>
      </c>
      <c r="E3138" s="83" t="s">
        <v>2625</v>
      </c>
      <c r="F3138" s="81" t="s">
        <v>207</v>
      </c>
      <c r="G3138" s="88">
        <v>0.79569999999999996</v>
      </c>
      <c r="H3138" s="85"/>
      <c r="I3138" s="86">
        <v>27150.33</v>
      </c>
      <c r="J3138" s="185">
        <f>ROUND($I3138/$G3138*$N$11,2)</f>
        <v>38850.53</v>
      </c>
      <c r="K3138" s="189">
        <f>ROUND(G3138*J3138,2)</f>
        <v>30913.37</v>
      </c>
      <c r="L3138" s="189"/>
      <c r="M3138" s="138"/>
      <c r="N3138" s="138"/>
      <c r="O3138" s="138"/>
      <c r="S3138" s="72"/>
      <c r="T3138" s="72"/>
      <c r="U3138" s="72"/>
      <c r="V3138" s="72"/>
    </row>
    <row r="3139" spans="1:22" s="128" customFormat="1" ht="12.75" x14ac:dyDescent="0.25">
      <c r="A3139" s="237"/>
      <c r="B3139" s="125"/>
      <c r="C3139" s="76"/>
      <c r="D3139" s="77"/>
      <c r="E3139" s="126" t="s">
        <v>3400</v>
      </c>
      <c r="F3139" s="125"/>
      <c r="G3139" s="240"/>
      <c r="H3139" s="127"/>
      <c r="I3139" s="78"/>
      <c r="J3139" s="238"/>
      <c r="K3139" s="239"/>
      <c r="L3139" s="239"/>
      <c r="M3139" s="79"/>
      <c r="N3139" s="79"/>
      <c r="O3139" s="79"/>
      <c r="S3139" s="129"/>
      <c r="T3139" s="129"/>
      <c r="U3139" s="129"/>
      <c r="V3139" s="129"/>
    </row>
    <row r="3140" spans="1:22" s="63" customFormat="1" ht="22.5" x14ac:dyDescent="0.25">
      <c r="A3140" s="87">
        <v>26.13</v>
      </c>
      <c r="B3140" s="81" t="s">
        <v>92</v>
      </c>
      <c r="C3140" s="82">
        <v>14</v>
      </c>
      <c r="D3140" s="131" t="s">
        <v>2808</v>
      </c>
      <c r="E3140" s="83" t="s">
        <v>2809</v>
      </c>
      <c r="F3140" s="81" t="s">
        <v>196</v>
      </c>
      <c r="G3140" s="88">
        <v>2.46E-2</v>
      </c>
      <c r="H3140" s="85"/>
      <c r="I3140" s="86">
        <v>29029.81</v>
      </c>
      <c r="J3140" s="185">
        <f>ROUND($I3140/$G3140*$N$11,2)</f>
        <v>1343631.78</v>
      </c>
      <c r="K3140" s="189">
        <f>ROUND(G3140*J3140,2)</f>
        <v>33053.339999999997</v>
      </c>
      <c r="L3140" s="189"/>
      <c r="M3140" s="138"/>
      <c r="N3140" s="138"/>
      <c r="O3140" s="138"/>
      <c r="S3140" s="72"/>
      <c r="T3140" s="72"/>
      <c r="U3140" s="72"/>
      <c r="V3140" s="72"/>
    </row>
    <row r="3141" spans="1:22" s="63" customFormat="1" ht="22.5" x14ac:dyDescent="0.25">
      <c r="A3141" s="87">
        <v>26.14</v>
      </c>
      <c r="B3141" s="81" t="s">
        <v>92</v>
      </c>
      <c r="C3141" s="80">
        <v>14.1</v>
      </c>
      <c r="D3141" s="131" t="s">
        <v>233</v>
      </c>
      <c r="E3141" s="83" t="s">
        <v>234</v>
      </c>
      <c r="F3141" s="81" t="s">
        <v>205</v>
      </c>
      <c r="G3141" s="84">
        <v>2.4969999999999999</v>
      </c>
      <c r="H3141" s="85"/>
      <c r="I3141" s="86">
        <v>18860.849999999999</v>
      </c>
      <c r="J3141" s="185">
        <f>ROUND($I3141/$G3141*$N$11,2)</f>
        <v>8600.31</v>
      </c>
      <c r="K3141" s="189">
        <f>ROUND(G3141*J3141,2)</f>
        <v>21474.97</v>
      </c>
      <c r="L3141" s="189"/>
      <c r="M3141" s="138"/>
      <c r="N3141" s="138"/>
      <c r="O3141" s="138"/>
      <c r="S3141" s="72"/>
      <c r="T3141" s="72"/>
      <c r="U3141" s="72"/>
      <c r="V3141" s="72"/>
    </row>
    <row r="3142" spans="1:22" s="63" customFormat="1" ht="22.5" x14ac:dyDescent="0.25">
      <c r="A3142" s="87">
        <v>26.15</v>
      </c>
      <c r="B3142" s="81" t="s">
        <v>92</v>
      </c>
      <c r="C3142" s="80">
        <v>14.2</v>
      </c>
      <c r="D3142" s="131" t="s">
        <v>235</v>
      </c>
      <c r="E3142" s="83" t="s">
        <v>3433</v>
      </c>
      <c r="F3142" s="81" t="s">
        <v>205</v>
      </c>
      <c r="G3142" s="87">
        <v>2.46</v>
      </c>
      <c r="H3142" s="85"/>
      <c r="I3142" s="86">
        <v>282.02999999999997</v>
      </c>
      <c r="J3142" s="185">
        <f>ROUND($I3142/$G3142*$N$11,2)</f>
        <v>130.54</v>
      </c>
      <c r="K3142" s="189">
        <f>ROUND(G3142*J3142,2)</f>
        <v>321.13</v>
      </c>
      <c r="L3142" s="189"/>
      <c r="M3142" s="138"/>
      <c r="N3142" s="138"/>
      <c r="O3142" s="138"/>
      <c r="S3142" s="72"/>
      <c r="T3142" s="72"/>
      <c r="U3142" s="72"/>
      <c r="V3142" s="72"/>
    </row>
    <row r="3143" spans="1:22" s="63" customFormat="1" ht="22.5" x14ac:dyDescent="0.25">
      <c r="A3143" s="87">
        <v>26.16</v>
      </c>
      <c r="B3143" s="81" t="s">
        <v>92</v>
      </c>
      <c r="C3143" s="80">
        <v>14.3</v>
      </c>
      <c r="D3143" s="131" t="s">
        <v>236</v>
      </c>
      <c r="E3143" s="83" t="s">
        <v>237</v>
      </c>
      <c r="F3143" s="81" t="s">
        <v>226</v>
      </c>
      <c r="G3143" s="87">
        <v>0.24</v>
      </c>
      <c r="H3143" s="85"/>
      <c r="I3143" s="86">
        <v>11901.86</v>
      </c>
      <c r="J3143" s="185">
        <f>ROUND($I3143/$G3143*$N$11,2)</f>
        <v>56464.41</v>
      </c>
      <c r="K3143" s="189">
        <f>ROUND(G3143*J3143,2)</f>
        <v>13551.46</v>
      </c>
      <c r="L3143" s="189"/>
      <c r="M3143" s="138"/>
      <c r="N3143" s="138"/>
      <c r="O3143" s="138"/>
      <c r="S3143" s="72"/>
      <c r="T3143" s="72"/>
      <c r="U3143" s="72"/>
      <c r="V3143" s="72"/>
    </row>
    <row r="3144" spans="1:22" s="63" customFormat="1" ht="22.5" x14ac:dyDescent="0.25">
      <c r="A3144" s="87">
        <v>26.17</v>
      </c>
      <c r="B3144" s="81" t="s">
        <v>92</v>
      </c>
      <c r="C3144" s="80">
        <v>14.4</v>
      </c>
      <c r="D3144" s="131" t="s">
        <v>2810</v>
      </c>
      <c r="E3144" s="83" t="s">
        <v>2811</v>
      </c>
      <c r="F3144" s="81" t="s">
        <v>226</v>
      </c>
      <c r="G3144" s="87">
        <v>0.05</v>
      </c>
      <c r="H3144" s="85"/>
      <c r="I3144" s="86">
        <v>2464.91</v>
      </c>
      <c r="J3144" s="185">
        <f>ROUND($I3144/$G3144*$N$11,2)</f>
        <v>56130.93</v>
      </c>
      <c r="K3144" s="189">
        <f>ROUND(G3144*J3144,2)</f>
        <v>2806.55</v>
      </c>
      <c r="L3144" s="189"/>
      <c r="M3144" s="138"/>
      <c r="N3144" s="138"/>
      <c r="O3144" s="138"/>
      <c r="S3144" s="72"/>
      <c r="T3144" s="72"/>
      <c r="U3144" s="72"/>
      <c r="V3144" s="72"/>
    </row>
    <row r="3145" spans="1:22" s="128" customFormat="1" ht="12.75" x14ac:dyDescent="0.25">
      <c r="A3145" s="237"/>
      <c r="B3145" s="125"/>
      <c r="C3145" s="236"/>
      <c r="D3145" s="77"/>
      <c r="E3145" s="126" t="s">
        <v>3401</v>
      </c>
      <c r="F3145" s="125"/>
      <c r="G3145" s="237"/>
      <c r="H3145" s="127"/>
      <c r="I3145" s="78"/>
      <c r="J3145" s="238"/>
      <c r="K3145" s="239"/>
      <c r="L3145" s="239"/>
      <c r="M3145" s="79"/>
      <c r="N3145" s="79"/>
      <c r="O3145" s="79"/>
      <c r="S3145" s="129"/>
      <c r="T3145" s="129"/>
      <c r="U3145" s="129"/>
      <c r="V3145" s="129"/>
    </row>
    <row r="3146" spans="1:22" s="63" customFormat="1" ht="15" x14ac:dyDescent="0.25">
      <c r="A3146" s="87">
        <v>26.18</v>
      </c>
      <c r="B3146" s="81" t="s">
        <v>92</v>
      </c>
      <c r="C3146" s="82">
        <v>15</v>
      </c>
      <c r="D3146" s="131" t="s">
        <v>2812</v>
      </c>
      <c r="E3146" s="83" t="s">
        <v>2813</v>
      </c>
      <c r="F3146" s="81" t="s">
        <v>226</v>
      </c>
      <c r="G3146" s="89">
        <v>1.4080000000000001E-2</v>
      </c>
      <c r="H3146" s="85"/>
      <c r="I3146" s="86">
        <v>885.72</v>
      </c>
      <c r="J3146" s="185">
        <f t="shared" ref="J3146:J3153" si="306">ROUND($I3146/$G3146*$N$11,2)</f>
        <v>71625.06</v>
      </c>
      <c r="K3146" s="189">
        <f t="shared" ref="K3146:K3153" si="307">ROUND(G3146*J3146,2)</f>
        <v>1008.48</v>
      </c>
      <c r="L3146" s="189"/>
      <c r="M3146" s="138"/>
      <c r="N3146" s="138"/>
      <c r="O3146" s="138"/>
      <c r="S3146" s="72"/>
      <c r="T3146" s="72"/>
      <c r="U3146" s="72"/>
      <c r="V3146" s="72"/>
    </row>
    <row r="3147" spans="1:22" s="63" customFormat="1" ht="33.75" x14ac:dyDescent="0.25">
      <c r="A3147" s="87">
        <v>26.19</v>
      </c>
      <c r="B3147" s="81" t="s">
        <v>92</v>
      </c>
      <c r="C3147" s="80">
        <v>15.1</v>
      </c>
      <c r="D3147" s="131" t="s">
        <v>282</v>
      </c>
      <c r="E3147" s="83" t="s">
        <v>283</v>
      </c>
      <c r="F3147" s="81" t="s">
        <v>226</v>
      </c>
      <c r="G3147" s="89">
        <v>1.4080000000000001E-2</v>
      </c>
      <c r="H3147" s="85"/>
      <c r="I3147" s="86">
        <v>951.4</v>
      </c>
      <c r="J3147" s="185">
        <f t="shared" si="306"/>
        <v>76936.37</v>
      </c>
      <c r="K3147" s="189">
        <f t="shared" si="307"/>
        <v>1083.26</v>
      </c>
      <c r="L3147" s="189"/>
      <c r="M3147" s="138"/>
      <c r="N3147" s="138"/>
      <c r="O3147" s="138"/>
      <c r="S3147" s="72"/>
      <c r="T3147" s="72"/>
      <c r="U3147" s="72"/>
      <c r="V3147" s="72"/>
    </row>
    <row r="3148" spans="1:22" s="63" customFormat="1" ht="22.5" x14ac:dyDescent="0.25">
      <c r="A3148" s="87">
        <v>26.2</v>
      </c>
      <c r="B3148" s="81" t="s">
        <v>92</v>
      </c>
      <c r="C3148" s="82">
        <v>16</v>
      </c>
      <c r="D3148" s="131" t="s">
        <v>2814</v>
      </c>
      <c r="E3148" s="83" t="s">
        <v>2815</v>
      </c>
      <c r="F3148" s="81" t="s">
        <v>226</v>
      </c>
      <c r="G3148" s="89">
        <v>2.877E-2</v>
      </c>
      <c r="H3148" s="85"/>
      <c r="I3148" s="86">
        <v>2421.44</v>
      </c>
      <c r="J3148" s="185">
        <f t="shared" si="306"/>
        <v>95830.78</v>
      </c>
      <c r="K3148" s="189">
        <f t="shared" si="307"/>
        <v>2757.05</v>
      </c>
      <c r="L3148" s="189"/>
      <c r="M3148" s="138"/>
      <c r="N3148" s="138"/>
      <c r="O3148" s="138"/>
      <c r="S3148" s="72"/>
      <c r="T3148" s="72"/>
      <c r="U3148" s="72"/>
      <c r="V3148" s="72"/>
    </row>
    <row r="3149" spans="1:22" s="63" customFormat="1" ht="33.75" x14ac:dyDescent="0.25">
      <c r="A3149" s="87">
        <v>26.21</v>
      </c>
      <c r="B3149" s="81" t="s">
        <v>92</v>
      </c>
      <c r="C3149" s="80">
        <v>16.100000000000001</v>
      </c>
      <c r="D3149" s="131" t="s">
        <v>266</v>
      </c>
      <c r="E3149" s="83" t="s">
        <v>267</v>
      </c>
      <c r="F3149" s="81" t="s">
        <v>226</v>
      </c>
      <c r="G3149" s="89">
        <v>2.877E-2</v>
      </c>
      <c r="H3149" s="85"/>
      <c r="I3149" s="86">
        <v>2753.69</v>
      </c>
      <c r="J3149" s="185">
        <f t="shared" si="306"/>
        <v>108979.89</v>
      </c>
      <c r="K3149" s="189">
        <f t="shared" si="307"/>
        <v>3135.35</v>
      </c>
      <c r="L3149" s="189"/>
      <c r="M3149" s="138"/>
      <c r="N3149" s="138"/>
      <c r="O3149" s="138"/>
      <c r="S3149" s="72"/>
      <c r="T3149" s="72"/>
      <c r="U3149" s="72"/>
      <c r="V3149" s="72"/>
    </row>
    <row r="3150" spans="1:22" s="63" customFormat="1" ht="15" x14ac:dyDescent="0.25">
      <c r="A3150" s="87">
        <v>26.22</v>
      </c>
      <c r="B3150" s="81" t="s">
        <v>92</v>
      </c>
      <c r="C3150" s="82">
        <v>17</v>
      </c>
      <c r="D3150" s="131" t="s">
        <v>2816</v>
      </c>
      <c r="E3150" s="83" t="s">
        <v>2817</v>
      </c>
      <c r="F3150" s="81" t="s">
        <v>207</v>
      </c>
      <c r="G3150" s="88">
        <v>9.4000000000000004E-3</v>
      </c>
      <c r="H3150" s="85"/>
      <c r="I3150" s="86">
        <v>133.78</v>
      </c>
      <c r="J3150" s="185">
        <f t="shared" si="306"/>
        <v>16204.46</v>
      </c>
      <c r="K3150" s="189">
        <f t="shared" si="307"/>
        <v>152.32</v>
      </c>
      <c r="L3150" s="189"/>
      <c r="M3150" s="138"/>
      <c r="N3150" s="138"/>
      <c r="O3150" s="138"/>
      <c r="S3150" s="72"/>
      <c r="T3150" s="72"/>
      <c r="U3150" s="72"/>
      <c r="V3150" s="72"/>
    </row>
    <row r="3151" spans="1:22" s="63" customFormat="1" ht="22.5" x14ac:dyDescent="0.25">
      <c r="A3151" s="87">
        <v>26.23</v>
      </c>
      <c r="B3151" s="81" t="s">
        <v>92</v>
      </c>
      <c r="C3151" s="82">
        <v>18</v>
      </c>
      <c r="D3151" s="131" t="s">
        <v>2818</v>
      </c>
      <c r="E3151" s="83" t="s">
        <v>2819</v>
      </c>
      <c r="F3151" s="81" t="s">
        <v>2350</v>
      </c>
      <c r="G3151" s="88">
        <v>1.1999999999999999E-3</v>
      </c>
      <c r="H3151" s="85"/>
      <c r="I3151" s="86">
        <v>1559.24</v>
      </c>
      <c r="J3151" s="185">
        <f t="shared" si="306"/>
        <v>1479458.89</v>
      </c>
      <c r="K3151" s="189">
        <f t="shared" si="307"/>
        <v>1775.35</v>
      </c>
      <c r="L3151" s="189"/>
      <c r="M3151" s="138"/>
      <c r="N3151" s="138"/>
      <c r="O3151" s="138"/>
      <c r="S3151" s="72"/>
      <c r="T3151" s="72"/>
      <c r="U3151" s="72"/>
      <c r="V3151" s="72"/>
    </row>
    <row r="3152" spans="1:22" s="63" customFormat="1" ht="22.5" x14ac:dyDescent="0.25">
      <c r="A3152" s="87">
        <v>26.24</v>
      </c>
      <c r="B3152" s="81" t="s">
        <v>92</v>
      </c>
      <c r="C3152" s="80">
        <v>18.100000000000001</v>
      </c>
      <c r="D3152" s="131" t="s">
        <v>2820</v>
      </c>
      <c r="E3152" s="83" t="s">
        <v>2821</v>
      </c>
      <c r="F3152" s="81" t="s">
        <v>2822</v>
      </c>
      <c r="G3152" s="89">
        <v>-8.3519999999999997E-2</v>
      </c>
      <c r="H3152" s="85"/>
      <c r="I3152" s="86">
        <v>-173.75</v>
      </c>
      <c r="J3152" s="185">
        <f t="shared" si="306"/>
        <v>2368.6799999999998</v>
      </c>
      <c r="K3152" s="189">
        <f t="shared" si="307"/>
        <v>-197.83</v>
      </c>
      <c r="L3152" s="189"/>
      <c r="M3152" s="138"/>
      <c r="N3152" s="138"/>
      <c r="O3152" s="138"/>
      <c r="S3152" s="72"/>
      <c r="T3152" s="72"/>
      <c r="U3152" s="72"/>
      <c r="V3152" s="72"/>
    </row>
    <row r="3153" spans="1:22" s="63" customFormat="1" ht="22.5" x14ac:dyDescent="0.25">
      <c r="A3153" s="87">
        <v>26.25</v>
      </c>
      <c r="B3153" s="81" t="s">
        <v>92</v>
      </c>
      <c r="C3153" s="80">
        <v>18.2</v>
      </c>
      <c r="D3153" s="131" t="s">
        <v>2823</v>
      </c>
      <c r="E3153" s="83" t="s">
        <v>2824</v>
      </c>
      <c r="F3153" s="81" t="s">
        <v>334</v>
      </c>
      <c r="G3153" s="88">
        <v>1.2048000000000001</v>
      </c>
      <c r="H3153" s="85"/>
      <c r="I3153" s="86">
        <v>4337.08</v>
      </c>
      <c r="J3153" s="185">
        <f t="shared" si="306"/>
        <v>4098.7700000000004</v>
      </c>
      <c r="K3153" s="189">
        <f t="shared" si="307"/>
        <v>4938.2</v>
      </c>
      <c r="L3153" s="189"/>
      <c r="M3153" s="138"/>
      <c r="N3153" s="138"/>
      <c r="O3153" s="138"/>
      <c r="S3153" s="72"/>
      <c r="T3153" s="72"/>
      <c r="U3153" s="72"/>
      <c r="V3153" s="72"/>
    </row>
    <row r="3154" spans="1:22" s="128" customFormat="1" ht="12.75" x14ac:dyDescent="0.25">
      <c r="A3154" s="237"/>
      <c r="B3154" s="125"/>
      <c r="C3154" s="236"/>
      <c r="D3154" s="77"/>
      <c r="E3154" s="126" t="s">
        <v>3402</v>
      </c>
      <c r="F3154" s="125"/>
      <c r="G3154" s="240"/>
      <c r="H3154" s="127"/>
      <c r="I3154" s="78"/>
      <c r="J3154" s="238"/>
      <c r="K3154" s="239"/>
      <c r="L3154" s="239"/>
      <c r="M3154" s="79"/>
      <c r="N3154" s="79"/>
      <c r="O3154" s="79"/>
      <c r="S3154" s="129"/>
      <c r="T3154" s="129"/>
      <c r="U3154" s="129"/>
      <c r="V3154" s="129"/>
    </row>
    <row r="3155" spans="1:22" s="63" customFormat="1" ht="22.5" x14ac:dyDescent="0.25">
      <c r="A3155" s="87">
        <v>26.26</v>
      </c>
      <c r="B3155" s="81" t="s">
        <v>92</v>
      </c>
      <c r="C3155" s="82">
        <v>19</v>
      </c>
      <c r="D3155" s="131" t="s">
        <v>2825</v>
      </c>
      <c r="E3155" s="83" t="s">
        <v>2826</v>
      </c>
      <c r="F3155" s="81" t="s">
        <v>219</v>
      </c>
      <c r="G3155" s="82">
        <v>1</v>
      </c>
      <c r="H3155" s="85"/>
      <c r="I3155" s="86">
        <v>125593.66</v>
      </c>
      <c r="J3155" s="185">
        <f>ROUND($I3155/$G3155*$N$11,2)</f>
        <v>143000.94</v>
      </c>
      <c r="K3155" s="189">
        <f>ROUND(G3155*J3155,2)</f>
        <v>143000.94</v>
      </c>
      <c r="L3155" s="189"/>
      <c r="M3155" s="138"/>
      <c r="N3155" s="138"/>
      <c r="O3155" s="138"/>
      <c r="S3155" s="72"/>
      <c r="T3155" s="72"/>
      <c r="U3155" s="72"/>
      <c r="V3155" s="72"/>
    </row>
    <row r="3156" spans="1:22" s="63" customFormat="1" ht="33.75" x14ac:dyDescent="0.25">
      <c r="A3156" s="101">
        <v>26.27</v>
      </c>
      <c r="B3156" s="102" t="s">
        <v>92</v>
      </c>
      <c r="C3156" s="103">
        <v>19.100000000000001</v>
      </c>
      <c r="D3156" s="167" t="s">
        <v>2827</v>
      </c>
      <c r="E3156" s="104" t="s">
        <v>2828</v>
      </c>
      <c r="F3156" s="102" t="s">
        <v>219</v>
      </c>
      <c r="G3156" s="105">
        <v>1</v>
      </c>
      <c r="H3156" s="106"/>
      <c r="I3156" s="107">
        <v>5665484.4100000001</v>
      </c>
      <c r="J3156" s="192">
        <f>ROUND($I3156/$G3156*$N$12,2)</f>
        <v>6336844.3099999996</v>
      </c>
      <c r="K3156" s="193">
        <f>ROUND(G3156*J3156,2)</f>
        <v>6336844.3099999996</v>
      </c>
      <c r="L3156" s="193"/>
      <c r="M3156" s="138"/>
      <c r="N3156" s="138"/>
      <c r="O3156" s="138"/>
      <c r="S3156" s="72"/>
      <c r="T3156" s="72"/>
      <c r="U3156" s="72"/>
      <c r="V3156" s="72"/>
    </row>
    <row r="3157" spans="1:22" s="63" customFormat="1" ht="22.5" x14ac:dyDescent="0.25">
      <c r="A3157" s="87">
        <v>26.28</v>
      </c>
      <c r="B3157" s="81" t="s">
        <v>92</v>
      </c>
      <c r="C3157" s="82">
        <v>20</v>
      </c>
      <c r="D3157" s="131" t="s">
        <v>2829</v>
      </c>
      <c r="E3157" s="83" t="s">
        <v>2830</v>
      </c>
      <c r="F3157" s="81" t="s">
        <v>216</v>
      </c>
      <c r="G3157" s="87">
        <v>0.48</v>
      </c>
      <c r="H3157" s="85"/>
      <c r="I3157" s="86">
        <v>2231.3200000000002</v>
      </c>
      <c r="J3157" s="185">
        <f>ROUND($I3157/$G3157*$N$11,2)</f>
        <v>5292.88</v>
      </c>
      <c r="K3157" s="189">
        <f>ROUND(G3157*J3157,2)</f>
        <v>2540.58</v>
      </c>
      <c r="L3157" s="189"/>
      <c r="M3157" s="138"/>
      <c r="N3157" s="138"/>
      <c r="O3157" s="138"/>
      <c r="S3157" s="72"/>
      <c r="T3157" s="72"/>
      <c r="U3157" s="72"/>
      <c r="V3157" s="72"/>
    </row>
    <row r="3158" spans="1:22" s="63" customFormat="1" ht="22.5" x14ac:dyDescent="0.25">
      <c r="A3158" s="87">
        <v>26.29</v>
      </c>
      <c r="B3158" s="81" t="s">
        <v>92</v>
      </c>
      <c r="C3158" s="80">
        <v>20.100000000000001</v>
      </c>
      <c r="D3158" s="131" t="s">
        <v>2831</v>
      </c>
      <c r="E3158" s="83" t="s">
        <v>2832</v>
      </c>
      <c r="F3158" s="81" t="s">
        <v>216</v>
      </c>
      <c r="G3158" s="87">
        <v>-0.48</v>
      </c>
      <c r="H3158" s="85"/>
      <c r="I3158" s="86">
        <v>-642.76</v>
      </c>
      <c r="J3158" s="185">
        <f>ROUND($I3158/$G3158*$N$11,2)</f>
        <v>1524.68</v>
      </c>
      <c r="K3158" s="189">
        <f>ROUND(G3158*J3158,2)</f>
        <v>-731.85</v>
      </c>
      <c r="L3158" s="189"/>
      <c r="M3158" s="138"/>
      <c r="N3158" s="138"/>
      <c r="O3158" s="138"/>
      <c r="S3158" s="72"/>
      <c r="T3158" s="72"/>
      <c r="U3158" s="72"/>
      <c r="V3158" s="72"/>
    </row>
    <row r="3159" spans="1:22" s="63" customFormat="1" ht="22.5" x14ac:dyDescent="0.25">
      <c r="A3159" s="87">
        <v>26.3</v>
      </c>
      <c r="B3159" s="81" t="s">
        <v>92</v>
      </c>
      <c r="C3159" s="82">
        <v>21</v>
      </c>
      <c r="D3159" s="131" t="s">
        <v>360</v>
      </c>
      <c r="E3159" s="83" t="s">
        <v>2833</v>
      </c>
      <c r="F3159" s="81" t="s">
        <v>226</v>
      </c>
      <c r="G3159" s="84">
        <v>5.0000000000000001E-3</v>
      </c>
      <c r="H3159" s="85"/>
      <c r="I3159" s="86">
        <v>1958.85</v>
      </c>
      <c r="J3159" s="185">
        <f>ROUND($I3159/$G3159*$N$11,2)</f>
        <v>446069.32</v>
      </c>
      <c r="K3159" s="189">
        <f>ROUND(G3159*J3159,2)</f>
        <v>2230.35</v>
      </c>
      <c r="L3159" s="189"/>
      <c r="M3159" s="138"/>
      <c r="N3159" s="138"/>
      <c r="O3159" s="138"/>
      <c r="S3159" s="72"/>
      <c r="T3159" s="72"/>
      <c r="U3159" s="72"/>
      <c r="V3159" s="72"/>
    </row>
    <row r="3160" spans="1:22" s="63" customFormat="1" ht="15" x14ac:dyDescent="0.25">
      <c r="A3160" s="194">
        <v>27</v>
      </c>
      <c r="B3160" s="418" t="s">
        <v>2834</v>
      </c>
      <c r="C3160" s="418"/>
      <c r="D3160" s="418"/>
      <c r="E3160" s="195" t="s">
        <v>95</v>
      </c>
      <c r="F3160" s="196"/>
      <c r="G3160" s="194"/>
      <c r="H3160" s="197">
        <v>9577517.1600000001</v>
      </c>
      <c r="I3160" s="355">
        <f>SUM(I3163:I3189)</f>
        <v>9581190.8399999999</v>
      </c>
      <c r="J3160" s="200"/>
      <c r="K3160" s="198">
        <f>SUM(K3163:K3189)</f>
        <v>10778981.880000001</v>
      </c>
      <c r="L3160" s="198"/>
      <c r="M3160" s="207"/>
      <c r="N3160" s="209"/>
      <c r="O3160" s="138"/>
      <c r="S3160" s="72"/>
      <c r="T3160" s="72"/>
      <c r="U3160" s="72"/>
      <c r="V3160" s="72"/>
    </row>
    <row r="3161" spans="1:22" s="63" customFormat="1" ht="15" x14ac:dyDescent="0.25">
      <c r="A3161" s="91"/>
      <c r="B3161" s="92"/>
      <c r="C3161" s="92"/>
      <c r="D3161" s="166"/>
      <c r="E3161" s="93" t="s">
        <v>651</v>
      </c>
      <c r="F3161" s="94"/>
      <c r="G3161" s="91"/>
      <c r="H3161" s="95"/>
      <c r="I3161" s="96">
        <f>I3172+I3183</f>
        <v>6468614.3100000005</v>
      </c>
      <c r="J3161" s="191"/>
      <c r="K3161" s="96">
        <f>K3172+K3183</f>
        <v>7235120.6500000004</v>
      </c>
      <c r="L3161" s="96"/>
      <c r="M3161" s="207"/>
      <c r="N3161" s="209"/>
      <c r="O3161" s="138"/>
      <c r="S3161" s="72"/>
      <c r="T3161" s="72"/>
      <c r="U3161" s="72"/>
      <c r="V3161" s="72"/>
    </row>
    <row r="3162" spans="1:22" s="278" customFormat="1" ht="15" x14ac:dyDescent="0.25">
      <c r="A3162" s="216"/>
      <c r="B3162" s="217"/>
      <c r="C3162" s="217"/>
      <c r="D3162" s="248"/>
      <c r="E3162" s="218" t="s">
        <v>3200</v>
      </c>
      <c r="F3162" s="219"/>
      <c r="G3162" s="216"/>
      <c r="H3162" s="220"/>
      <c r="I3162" s="221"/>
      <c r="J3162" s="244"/>
      <c r="K3162" s="221"/>
      <c r="L3162" s="221"/>
      <c r="M3162" s="222"/>
      <c r="N3162" s="223"/>
      <c r="O3162" s="245"/>
      <c r="S3162" s="225"/>
      <c r="T3162" s="225"/>
      <c r="U3162" s="225"/>
      <c r="V3162" s="225"/>
    </row>
    <row r="3163" spans="1:22" s="63" customFormat="1" ht="22.5" x14ac:dyDescent="0.25">
      <c r="A3163" s="80">
        <v>27.1</v>
      </c>
      <c r="B3163" s="81" t="s">
        <v>94</v>
      </c>
      <c r="C3163" s="82">
        <v>5</v>
      </c>
      <c r="D3163" s="131" t="s">
        <v>2785</v>
      </c>
      <c r="E3163" s="83" t="s">
        <v>2835</v>
      </c>
      <c r="F3163" s="81" t="s">
        <v>193</v>
      </c>
      <c r="G3163" s="89">
        <v>1.8551800000000001</v>
      </c>
      <c r="H3163" s="85"/>
      <c r="I3163" s="86">
        <v>12365.95</v>
      </c>
      <c r="J3163" s="185">
        <f>ROUND($I3163/$G3163*$N$11,2)</f>
        <v>7589.49</v>
      </c>
      <c r="K3163" s="189">
        <f>ROUND(G3163*J3163,2)</f>
        <v>14079.87</v>
      </c>
      <c r="L3163" s="189"/>
      <c r="M3163" s="138"/>
      <c r="N3163" s="138"/>
      <c r="O3163" s="138"/>
      <c r="S3163" s="72"/>
      <c r="T3163" s="72"/>
      <c r="U3163" s="72"/>
      <c r="V3163" s="72"/>
    </row>
    <row r="3164" spans="1:22" s="63" customFormat="1" ht="15" x14ac:dyDescent="0.25">
      <c r="A3164" s="80">
        <v>27.2</v>
      </c>
      <c r="B3164" s="81" t="s">
        <v>94</v>
      </c>
      <c r="C3164" s="82">
        <v>6</v>
      </c>
      <c r="D3164" s="131" t="s">
        <v>2787</v>
      </c>
      <c r="E3164" s="83" t="s">
        <v>2836</v>
      </c>
      <c r="F3164" s="81" t="s">
        <v>196</v>
      </c>
      <c r="G3164" s="88">
        <v>0.28249999999999997</v>
      </c>
      <c r="H3164" s="85"/>
      <c r="I3164" s="86">
        <v>17891.02</v>
      </c>
      <c r="J3164" s="185">
        <f>ROUND($I3164/$G3164*$N$11,2)</f>
        <v>72108.73</v>
      </c>
      <c r="K3164" s="189">
        <f>ROUND(G3164*J3164,2)</f>
        <v>20370.72</v>
      </c>
      <c r="L3164" s="189"/>
      <c r="M3164" s="138"/>
      <c r="N3164" s="138"/>
      <c r="O3164" s="138"/>
      <c r="S3164" s="72"/>
      <c r="T3164" s="72"/>
      <c r="U3164" s="72"/>
      <c r="V3164" s="72"/>
    </row>
    <row r="3165" spans="1:22" s="63" customFormat="1" ht="22.5" x14ac:dyDescent="0.25">
      <c r="A3165" s="80">
        <v>27.3</v>
      </c>
      <c r="B3165" s="81" t="s">
        <v>94</v>
      </c>
      <c r="C3165" s="80">
        <v>6.1</v>
      </c>
      <c r="D3165" s="131" t="s">
        <v>2293</v>
      </c>
      <c r="E3165" s="83" t="s">
        <v>2294</v>
      </c>
      <c r="F3165" s="81" t="s">
        <v>205</v>
      </c>
      <c r="G3165" s="87">
        <v>1883.43</v>
      </c>
      <c r="H3165" s="85"/>
      <c r="I3165" s="86">
        <v>2283277.64</v>
      </c>
      <c r="J3165" s="185">
        <f>ROUND($I3165/$G3165*$N$11,2)</f>
        <v>1380.32</v>
      </c>
      <c r="K3165" s="189">
        <f>ROUND(G3165*J3165,2)</f>
        <v>2599736.1</v>
      </c>
      <c r="L3165" s="189"/>
      <c r="M3165" s="138"/>
      <c r="N3165" s="138"/>
      <c r="O3165" s="138"/>
      <c r="S3165" s="72"/>
      <c r="T3165" s="72"/>
      <c r="U3165" s="72"/>
      <c r="V3165" s="72"/>
    </row>
    <row r="3166" spans="1:22" s="63" customFormat="1" ht="15" x14ac:dyDescent="0.25">
      <c r="A3166" s="80">
        <v>27.4</v>
      </c>
      <c r="B3166" s="81" t="s">
        <v>94</v>
      </c>
      <c r="C3166" s="82">
        <v>7</v>
      </c>
      <c r="D3166" s="131" t="s">
        <v>201</v>
      </c>
      <c r="E3166" s="83" t="s">
        <v>202</v>
      </c>
      <c r="F3166" s="81" t="s">
        <v>196</v>
      </c>
      <c r="G3166" s="88">
        <v>18.5518</v>
      </c>
      <c r="H3166" s="85"/>
      <c r="I3166" s="86">
        <v>302929.96999999997</v>
      </c>
      <c r="J3166" s="185">
        <f>ROUND($I3166/$G3166*$N$11,2)</f>
        <v>18592.05</v>
      </c>
      <c r="K3166" s="189">
        <f>ROUND(G3166*J3166,2)</f>
        <v>344915.99</v>
      </c>
      <c r="L3166" s="189"/>
      <c r="M3166" s="138"/>
      <c r="N3166" s="138"/>
      <c r="O3166" s="138"/>
      <c r="S3166" s="72"/>
      <c r="T3166" s="72"/>
      <c r="U3166" s="72"/>
      <c r="V3166" s="72"/>
    </row>
    <row r="3167" spans="1:22" s="137" customFormat="1" ht="12.75" x14ac:dyDescent="0.25">
      <c r="A3167" s="236"/>
      <c r="B3167" s="125"/>
      <c r="C3167" s="76"/>
      <c r="D3167" s="77"/>
      <c r="E3167" s="126" t="s">
        <v>3403</v>
      </c>
      <c r="F3167" s="125"/>
      <c r="G3167" s="240"/>
      <c r="H3167" s="127"/>
      <c r="I3167" s="78"/>
      <c r="J3167" s="238"/>
      <c r="K3167" s="239"/>
      <c r="L3167" s="239"/>
      <c r="M3167" s="138"/>
      <c r="N3167" s="138"/>
      <c r="O3167" s="138"/>
      <c r="S3167" s="139"/>
      <c r="T3167" s="139"/>
      <c r="U3167" s="139"/>
      <c r="V3167" s="139"/>
    </row>
    <row r="3168" spans="1:22" s="63" customFormat="1" ht="15" x14ac:dyDescent="0.25">
      <c r="A3168" s="80">
        <v>27.5</v>
      </c>
      <c r="B3168" s="81" t="s">
        <v>94</v>
      </c>
      <c r="C3168" s="82">
        <v>11</v>
      </c>
      <c r="D3168" s="131" t="s">
        <v>2789</v>
      </c>
      <c r="E3168" s="83" t="s">
        <v>2790</v>
      </c>
      <c r="F3168" s="81" t="s">
        <v>205</v>
      </c>
      <c r="G3168" s="80">
        <v>6.3</v>
      </c>
      <c r="H3168" s="85"/>
      <c r="I3168" s="86">
        <v>25277.41</v>
      </c>
      <c r="J3168" s="185">
        <f>ROUND($I3168/$G3168*$N$11,2)</f>
        <v>4568.3900000000003</v>
      </c>
      <c r="K3168" s="189">
        <f>ROUND(G3168*J3168,2)</f>
        <v>28780.86</v>
      </c>
      <c r="L3168" s="189"/>
      <c r="M3168" s="138"/>
      <c r="N3168" s="138"/>
      <c r="O3168" s="138"/>
      <c r="S3168" s="72"/>
      <c r="T3168" s="72"/>
      <c r="U3168" s="72"/>
      <c r="V3168" s="72"/>
    </row>
    <row r="3169" spans="1:22" s="63" customFormat="1" ht="22.5" x14ac:dyDescent="0.25">
      <c r="A3169" s="80">
        <v>27.6</v>
      </c>
      <c r="B3169" s="81" t="s">
        <v>94</v>
      </c>
      <c r="C3169" s="80">
        <v>11.1</v>
      </c>
      <c r="D3169" s="131" t="s">
        <v>2372</v>
      </c>
      <c r="E3169" s="83" t="s">
        <v>2373</v>
      </c>
      <c r="F3169" s="81" t="s">
        <v>205</v>
      </c>
      <c r="G3169" s="87">
        <v>7.56</v>
      </c>
      <c r="H3169" s="85"/>
      <c r="I3169" s="86">
        <v>10035.02</v>
      </c>
      <c r="J3169" s="185">
        <f>ROUND($I3169/$G3169*$N$11,2)</f>
        <v>1511.36</v>
      </c>
      <c r="K3169" s="189">
        <f>ROUND(G3169*J3169,2)</f>
        <v>11425.88</v>
      </c>
      <c r="L3169" s="189"/>
      <c r="M3169" s="138"/>
      <c r="N3169" s="138"/>
      <c r="O3169" s="138"/>
      <c r="S3169" s="72"/>
      <c r="T3169" s="72"/>
      <c r="U3169" s="72"/>
      <c r="V3169" s="72"/>
    </row>
    <row r="3170" spans="1:22" s="128" customFormat="1" ht="12.75" x14ac:dyDescent="0.25">
      <c r="A3170" s="236"/>
      <c r="B3170" s="125"/>
      <c r="C3170" s="236"/>
      <c r="D3170" s="77"/>
      <c r="E3170" s="126" t="s">
        <v>3404</v>
      </c>
      <c r="F3170" s="125"/>
      <c r="G3170" s="237"/>
      <c r="H3170" s="127"/>
      <c r="I3170" s="78"/>
      <c r="J3170" s="238"/>
      <c r="K3170" s="239"/>
      <c r="L3170" s="239"/>
      <c r="M3170" s="79"/>
      <c r="N3170" s="79"/>
      <c r="O3170" s="79"/>
      <c r="S3170" s="129"/>
      <c r="T3170" s="129"/>
      <c r="U3170" s="129"/>
      <c r="V3170" s="129"/>
    </row>
    <row r="3171" spans="1:22" s="63" customFormat="1" ht="22.5" x14ac:dyDescent="0.25">
      <c r="A3171" s="80">
        <v>27.7</v>
      </c>
      <c r="B3171" s="81" t="s">
        <v>94</v>
      </c>
      <c r="C3171" s="82">
        <v>32</v>
      </c>
      <c r="D3171" s="131" t="s">
        <v>2825</v>
      </c>
      <c r="E3171" s="83" t="s">
        <v>2826</v>
      </c>
      <c r="F3171" s="81" t="s">
        <v>219</v>
      </c>
      <c r="G3171" s="82">
        <v>1</v>
      </c>
      <c r="H3171" s="85"/>
      <c r="I3171" s="86">
        <f>125593.66-0.01</f>
        <v>125593.65000000001</v>
      </c>
      <c r="J3171" s="185">
        <f>ROUND($I3171/$G3171*$N$11,2)</f>
        <v>143000.93</v>
      </c>
      <c r="K3171" s="189">
        <f t="shared" ref="K3171:K3189" si="308">ROUND(G3171*J3171,2)</f>
        <v>143000.93</v>
      </c>
      <c r="L3171" s="189"/>
      <c r="M3171" s="138"/>
      <c r="N3171" s="138"/>
      <c r="O3171" s="138"/>
      <c r="S3171" s="72"/>
      <c r="T3171" s="72"/>
      <c r="U3171" s="72"/>
      <c r="V3171" s="72"/>
    </row>
    <row r="3172" spans="1:22" s="63" customFormat="1" ht="33.75" x14ac:dyDescent="0.25">
      <c r="A3172" s="103">
        <v>27.8</v>
      </c>
      <c r="B3172" s="102" t="s">
        <v>94</v>
      </c>
      <c r="C3172" s="103">
        <v>32.1</v>
      </c>
      <c r="D3172" s="167" t="s">
        <v>2837</v>
      </c>
      <c r="E3172" s="104" t="s">
        <v>2838</v>
      </c>
      <c r="F3172" s="102" t="s">
        <v>219</v>
      </c>
      <c r="G3172" s="105">
        <v>1</v>
      </c>
      <c r="H3172" s="106"/>
      <c r="I3172" s="107">
        <v>1892480.49</v>
      </c>
      <c r="J3172" s="192">
        <f>ROUND($I3172/$G3172*$N$12,2)</f>
        <v>2116739.4300000002</v>
      </c>
      <c r="K3172" s="193">
        <f t="shared" si="308"/>
        <v>2116739.4300000002</v>
      </c>
      <c r="L3172" s="193"/>
      <c r="M3172" s="138"/>
      <c r="N3172" s="138"/>
      <c r="O3172" s="138"/>
      <c r="S3172" s="72"/>
      <c r="T3172" s="72"/>
      <c r="U3172" s="72"/>
      <c r="V3172" s="72"/>
    </row>
    <row r="3173" spans="1:22" s="63" customFormat="1" ht="22.5" x14ac:dyDescent="0.25">
      <c r="A3173" s="80">
        <v>27.9</v>
      </c>
      <c r="B3173" s="81" t="s">
        <v>94</v>
      </c>
      <c r="C3173" s="82">
        <v>33</v>
      </c>
      <c r="D3173" s="131" t="s">
        <v>2795</v>
      </c>
      <c r="E3173" s="83" t="s">
        <v>2796</v>
      </c>
      <c r="F3173" s="81" t="s">
        <v>219</v>
      </c>
      <c r="G3173" s="82">
        <v>9</v>
      </c>
      <c r="H3173" s="85"/>
      <c r="I3173" s="86">
        <v>3830.22</v>
      </c>
      <c r="J3173" s="185">
        <f t="shared" ref="J3173:J3181" si="309">ROUND($I3173/$G3173*$N$11,2)</f>
        <v>484.57</v>
      </c>
      <c r="K3173" s="189">
        <f t="shared" si="308"/>
        <v>4361.13</v>
      </c>
      <c r="L3173" s="189"/>
      <c r="M3173" s="138"/>
      <c r="N3173" s="138"/>
      <c r="O3173" s="138"/>
      <c r="S3173" s="72"/>
      <c r="T3173" s="72"/>
      <c r="U3173" s="72"/>
      <c r="V3173" s="72"/>
    </row>
    <row r="3174" spans="1:22" s="63" customFormat="1" ht="15" x14ac:dyDescent="0.25">
      <c r="A3174" s="87">
        <v>27.1</v>
      </c>
      <c r="B3174" s="81" t="s">
        <v>94</v>
      </c>
      <c r="C3174" s="82">
        <v>34</v>
      </c>
      <c r="D3174" s="131" t="s">
        <v>2797</v>
      </c>
      <c r="E3174" s="83" t="s">
        <v>2798</v>
      </c>
      <c r="F3174" s="81" t="s">
        <v>196</v>
      </c>
      <c r="G3174" s="87">
        <v>1.05</v>
      </c>
      <c r="H3174" s="85"/>
      <c r="I3174" s="86">
        <v>10984.2</v>
      </c>
      <c r="J3174" s="185">
        <f t="shared" si="309"/>
        <v>11911.06</v>
      </c>
      <c r="K3174" s="189">
        <f t="shared" si="308"/>
        <v>12506.61</v>
      </c>
      <c r="L3174" s="189"/>
      <c r="M3174" s="138"/>
      <c r="N3174" s="138"/>
      <c r="O3174" s="138"/>
      <c r="S3174" s="72"/>
      <c r="T3174" s="72"/>
      <c r="U3174" s="72"/>
      <c r="V3174" s="72"/>
    </row>
    <row r="3175" spans="1:22" s="63" customFormat="1" ht="22.5" x14ac:dyDescent="0.25">
      <c r="A3175" s="87">
        <v>27.11</v>
      </c>
      <c r="B3175" s="81" t="s">
        <v>94</v>
      </c>
      <c r="C3175" s="80">
        <v>34.1</v>
      </c>
      <c r="D3175" s="131" t="s">
        <v>2799</v>
      </c>
      <c r="E3175" s="83" t="s">
        <v>2800</v>
      </c>
      <c r="F3175" s="81" t="s">
        <v>226</v>
      </c>
      <c r="G3175" s="84">
        <v>-4.2000000000000003E-2</v>
      </c>
      <c r="H3175" s="85"/>
      <c r="I3175" s="86">
        <v>-661.92</v>
      </c>
      <c r="J3175" s="185">
        <f t="shared" si="309"/>
        <v>17944.34</v>
      </c>
      <c r="K3175" s="189">
        <f t="shared" si="308"/>
        <v>-753.66</v>
      </c>
      <c r="L3175" s="189"/>
      <c r="M3175" s="138"/>
      <c r="N3175" s="138"/>
      <c r="O3175" s="138"/>
      <c r="S3175" s="72"/>
      <c r="T3175" s="72"/>
      <c r="U3175" s="72"/>
      <c r="V3175" s="72"/>
    </row>
    <row r="3176" spans="1:22" s="63" customFormat="1" ht="22.5" x14ac:dyDescent="0.25">
      <c r="A3176" s="87">
        <v>27.12</v>
      </c>
      <c r="B3176" s="81" t="s">
        <v>94</v>
      </c>
      <c r="C3176" s="82">
        <v>35</v>
      </c>
      <c r="D3176" s="131" t="s">
        <v>2791</v>
      </c>
      <c r="E3176" s="83" t="s">
        <v>2839</v>
      </c>
      <c r="F3176" s="81" t="s">
        <v>219</v>
      </c>
      <c r="G3176" s="82">
        <v>1</v>
      </c>
      <c r="H3176" s="85"/>
      <c r="I3176" s="86">
        <v>102137.04</v>
      </c>
      <c r="J3176" s="185">
        <f t="shared" si="309"/>
        <v>116293.23</v>
      </c>
      <c r="K3176" s="189">
        <f t="shared" si="308"/>
        <v>116293.23</v>
      </c>
      <c r="L3176" s="189"/>
      <c r="M3176" s="138"/>
      <c r="N3176" s="138"/>
      <c r="O3176" s="138"/>
      <c r="S3176" s="72"/>
      <c r="T3176" s="72"/>
      <c r="U3176" s="72"/>
      <c r="V3176" s="72"/>
    </row>
    <row r="3177" spans="1:22" s="63" customFormat="1" ht="22.5" x14ac:dyDescent="0.25">
      <c r="A3177" s="87">
        <v>27.13</v>
      </c>
      <c r="B3177" s="81" t="s">
        <v>94</v>
      </c>
      <c r="C3177" s="82">
        <v>36</v>
      </c>
      <c r="D3177" s="131" t="s">
        <v>2829</v>
      </c>
      <c r="E3177" s="83" t="s">
        <v>2830</v>
      </c>
      <c r="F3177" s="81" t="s">
        <v>216</v>
      </c>
      <c r="G3177" s="87">
        <v>0.04</v>
      </c>
      <c r="H3177" s="85"/>
      <c r="I3177" s="86">
        <v>185.74</v>
      </c>
      <c r="J3177" s="185">
        <f t="shared" si="309"/>
        <v>5287.09</v>
      </c>
      <c r="K3177" s="189">
        <f t="shared" si="308"/>
        <v>211.48</v>
      </c>
      <c r="L3177" s="189"/>
      <c r="M3177" s="138"/>
      <c r="N3177" s="138"/>
      <c r="O3177" s="138"/>
      <c r="S3177" s="72"/>
      <c r="T3177" s="72"/>
      <c r="U3177" s="72"/>
      <c r="V3177" s="72"/>
    </row>
    <row r="3178" spans="1:22" s="63" customFormat="1" ht="22.5" x14ac:dyDescent="0.25">
      <c r="A3178" s="87">
        <v>27.14</v>
      </c>
      <c r="B3178" s="81" t="s">
        <v>94</v>
      </c>
      <c r="C3178" s="80">
        <v>36.1</v>
      </c>
      <c r="D3178" s="131" t="s">
        <v>2831</v>
      </c>
      <c r="E3178" s="83" t="s">
        <v>4056</v>
      </c>
      <c r="F3178" s="81" t="s">
        <v>216</v>
      </c>
      <c r="G3178" s="87">
        <v>-0.04</v>
      </c>
      <c r="H3178" s="85"/>
      <c r="I3178" s="86">
        <v>-67.2</v>
      </c>
      <c r="J3178" s="185">
        <f t="shared" si="309"/>
        <v>1912.85</v>
      </c>
      <c r="K3178" s="189">
        <f t="shared" si="308"/>
        <v>-76.510000000000005</v>
      </c>
      <c r="L3178" s="189"/>
      <c r="M3178" s="138"/>
      <c r="N3178" s="138"/>
      <c r="O3178" s="138"/>
      <c r="S3178" s="72"/>
      <c r="T3178" s="72"/>
      <c r="U3178" s="72"/>
      <c r="V3178" s="72"/>
    </row>
    <row r="3179" spans="1:22" s="63" customFormat="1" ht="22.5" x14ac:dyDescent="0.25">
      <c r="A3179" s="87">
        <v>27.15</v>
      </c>
      <c r="B3179" s="81" t="s">
        <v>94</v>
      </c>
      <c r="C3179" s="82">
        <v>37</v>
      </c>
      <c r="D3179" s="131" t="s">
        <v>360</v>
      </c>
      <c r="E3179" s="83" t="s">
        <v>2840</v>
      </c>
      <c r="F3179" s="81" t="s">
        <v>226</v>
      </c>
      <c r="G3179" s="88">
        <v>1.6999999999999999E-3</v>
      </c>
      <c r="H3179" s="85"/>
      <c r="I3179" s="86">
        <v>666.39</v>
      </c>
      <c r="J3179" s="185">
        <f t="shared" si="309"/>
        <v>446324.5</v>
      </c>
      <c r="K3179" s="189">
        <f t="shared" si="308"/>
        <v>758.75</v>
      </c>
      <c r="L3179" s="189"/>
      <c r="M3179" s="138"/>
      <c r="N3179" s="138"/>
      <c r="O3179" s="138"/>
      <c r="S3179" s="72"/>
      <c r="T3179" s="72"/>
      <c r="U3179" s="72"/>
      <c r="V3179" s="72"/>
    </row>
    <row r="3180" spans="1:22" s="63" customFormat="1" ht="15" x14ac:dyDescent="0.25">
      <c r="A3180" s="87">
        <v>27.16</v>
      </c>
      <c r="B3180" s="81" t="s">
        <v>94</v>
      </c>
      <c r="C3180" s="82">
        <v>38</v>
      </c>
      <c r="D3180" s="131" t="s">
        <v>2797</v>
      </c>
      <c r="E3180" s="83" t="s">
        <v>2798</v>
      </c>
      <c r="F3180" s="81" t="s">
        <v>196</v>
      </c>
      <c r="G3180" s="87">
        <v>0.25</v>
      </c>
      <c r="H3180" s="85"/>
      <c r="I3180" s="86">
        <v>2615.9899999999998</v>
      </c>
      <c r="J3180" s="185">
        <f t="shared" si="309"/>
        <v>11914.26</v>
      </c>
      <c r="K3180" s="189">
        <f t="shared" si="308"/>
        <v>2978.57</v>
      </c>
      <c r="L3180" s="189"/>
      <c r="M3180" s="138"/>
      <c r="N3180" s="138"/>
      <c r="O3180" s="138"/>
      <c r="S3180" s="72"/>
      <c r="T3180" s="72"/>
      <c r="U3180" s="72"/>
      <c r="V3180" s="72"/>
    </row>
    <row r="3181" spans="1:22" s="63" customFormat="1" ht="22.5" x14ac:dyDescent="0.25">
      <c r="A3181" s="87">
        <v>27.17</v>
      </c>
      <c r="B3181" s="81" t="s">
        <v>94</v>
      </c>
      <c r="C3181" s="80">
        <v>38.1</v>
      </c>
      <c r="D3181" s="131" t="s">
        <v>2799</v>
      </c>
      <c r="E3181" s="83" t="s">
        <v>2800</v>
      </c>
      <c r="F3181" s="81" t="s">
        <v>226</v>
      </c>
      <c r="G3181" s="87">
        <v>-0.01</v>
      </c>
      <c r="H3181" s="85"/>
      <c r="I3181" s="86">
        <v>-157.62</v>
      </c>
      <c r="J3181" s="185">
        <f t="shared" si="309"/>
        <v>17946.61</v>
      </c>
      <c r="K3181" s="189">
        <f t="shared" si="308"/>
        <v>-179.47</v>
      </c>
      <c r="L3181" s="189"/>
      <c r="M3181" s="138"/>
      <c r="N3181" s="138"/>
      <c r="O3181" s="138"/>
      <c r="S3181" s="72"/>
      <c r="T3181" s="72"/>
      <c r="U3181" s="72"/>
      <c r="V3181" s="72"/>
    </row>
    <row r="3182" spans="1:22" s="63" customFormat="1" ht="33.75" x14ac:dyDescent="0.25">
      <c r="A3182" s="87">
        <v>27.18</v>
      </c>
      <c r="B3182" s="81" t="s">
        <v>94</v>
      </c>
      <c r="C3182" s="82">
        <v>39</v>
      </c>
      <c r="D3182" s="131" t="s">
        <v>2791</v>
      </c>
      <c r="E3182" s="83" t="s">
        <v>2841</v>
      </c>
      <c r="F3182" s="81" t="s">
        <v>219</v>
      </c>
      <c r="G3182" s="82">
        <v>1</v>
      </c>
      <c r="H3182" s="85"/>
      <c r="I3182" s="294">
        <f>102137.04+4651.63-809.14</f>
        <v>105979.53</v>
      </c>
      <c r="J3182" s="214">
        <f>ROUND($I3182/$G3182*$N$11,2)-114.58</f>
        <v>120553.70999999999</v>
      </c>
      <c r="K3182" s="189">
        <f t="shared" si="308"/>
        <v>120553.71</v>
      </c>
      <c r="L3182" s="189"/>
      <c r="M3182" s="138"/>
      <c r="N3182" s="138"/>
      <c r="O3182" s="138"/>
      <c r="S3182" s="72"/>
      <c r="T3182" s="72"/>
      <c r="U3182" s="72"/>
      <c r="V3182" s="72"/>
    </row>
    <row r="3183" spans="1:22" s="63" customFormat="1" ht="67.5" x14ac:dyDescent="0.25">
      <c r="A3183" s="101">
        <v>27.19</v>
      </c>
      <c r="B3183" s="102" t="s">
        <v>94</v>
      </c>
      <c r="C3183" s="103">
        <v>39.1</v>
      </c>
      <c r="D3183" s="167" t="s">
        <v>2842</v>
      </c>
      <c r="E3183" s="104" t="s">
        <v>2843</v>
      </c>
      <c r="F3183" s="102" t="s">
        <v>219</v>
      </c>
      <c r="G3183" s="105">
        <v>1</v>
      </c>
      <c r="H3183" s="106"/>
      <c r="I3183" s="296">
        <f>4576302.62-168.8</f>
        <v>4576133.82</v>
      </c>
      <c r="J3183" s="215">
        <f>ROUND($I3183/$G3183*$N$12,2)-24.46</f>
        <v>5118381.22</v>
      </c>
      <c r="K3183" s="193">
        <f t="shared" si="308"/>
        <v>5118381.22</v>
      </c>
      <c r="L3183" s="193"/>
      <c r="M3183" s="138"/>
      <c r="N3183" s="138"/>
      <c r="O3183" s="138"/>
      <c r="S3183" s="72"/>
      <c r="T3183" s="72"/>
      <c r="U3183" s="72"/>
      <c r="V3183" s="72"/>
    </row>
    <row r="3184" spans="1:22" s="63" customFormat="1" ht="22.5" x14ac:dyDescent="0.25">
      <c r="A3184" s="87">
        <v>27.2</v>
      </c>
      <c r="B3184" s="81" t="s">
        <v>94</v>
      </c>
      <c r="C3184" s="82">
        <v>40</v>
      </c>
      <c r="D3184" s="131" t="s">
        <v>2791</v>
      </c>
      <c r="E3184" s="83" t="s">
        <v>2844</v>
      </c>
      <c r="F3184" s="81" t="s">
        <v>219</v>
      </c>
      <c r="G3184" s="82">
        <v>1</v>
      </c>
      <c r="H3184" s="85"/>
      <c r="I3184" s="86">
        <v>102137.04</v>
      </c>
      <c r="J3184" s="185">
        <f t="shared" ref="J3184:J3189" si="310">ROUND($I3184/$G3184*$N$11,2)</f>
        <v>116293.23</v>
      </c>
      <c r="K3184" s="189">
        <f t="shared" si="308"/>
        <v>116293.23</v>
      </c>
      <c r="L3184" s="189"/>
      <c r="M3184" s="138"/>
      <c r="N3184" s="138"/>
      <c r="O3184" s="138"/>
      <c r="S3184" s="72"/>
      <c r="T3184" s="72"/>
      <c r="U3184" s="72"/>
      <c r="V3184" s="72"/>
    </row>
    <row r="3185" spans="1:22" s="63" customFormat="1" ht="22.5" x14ac:dyDescent="0.25">
      <c r="A3185" s="87">
        <v>27.21</v>
      </c>
      <c r="B3185" s="81" t="s">
        <v>94</v>
      </c>
      <c r="C3185" s="82">
        <v>41</v>
      </c>
      <c r="D3185" s="131" t="s">
        <v>2795</v>
      </c>
      <c r="E3185" s="83" t="s">
        <v>2796</v>
      </c>
      <c r="F3185" s="81" t="s">
        <v>219</v>
      </c>
      <c r="G3185" s="82">
        <v>8</v>
      </c>
      <c r="H3185" s="85"/>
      <c r="I3185" s="86">
        <v>3404.65</v>
      </c>
      <c r="J3185" s="185">
        <f t="shared" si="310"/>
        <v>484.57</v>
      </c>
      <c r="K3185" s="189">
        <f t="shared" si="308"/>
        <v>3876.56</v>
      </c>
      <c r="L3185" s="189"/>
      <c r="M3185" s="138"/>
      <c r="N3185" s="138"/>
      <c r="O3185" s="138"/>
      <c r="S3185" s="72"/>
      <c r="T3185" s="72"/>
      <c r="U3185" s="72"/>
      <c r="V3185" s="72"/>
    </row>
    <row r="3186" spans="1:22" s="63" customFormat="1" ht="22.5" x14ac:dyDescent="0.25">
      <c r="A3186" s="87">
        <v>27.22</v>
      </c>
      <c r="B3186" s="81" t="s">
        <v>94</v>
      </c>
      <c r="C3186" s="82">
        <v>42</v>
      </c>
      <c r="D3186" s="131" t="s">
        <v>2829</v>
      </c>
      <c r="E3186" s="83" t="s">
        <v>2830</v>
      </c>
      <c r="F3186" s="81" t="s">
        <v>216</v>
      </c>
      <c r="G3186" s="87">
        <v>0.04</v>
      </c>
      <c r="H3186" s="85"/>
      <c r="I3186" s="86">
        <v>185.74</v>
      </c>
      <c r="J3186" s="185">
        <f t="shared" si="310"/>
        <v>5287.09</v>
      </c>
      <c r="K3186" s="189">
        <f t="shared" si="308"/>
        <v>211.48</v>
      </c>
      <c r="L3186" s="189"/>
      <c r="M3186" s="138"/>
      <c r="N3186" s="138"/>
      <c r="O3186" s="138"/>
      <c r="S3186" s="72"/>
      <c r="T3186" s="72"/>
      <c r="U3186" s="72"/>
      <c r="V3186" s="72"/>
    </row>
    <row r="3187" spans="1:22" s="63" customFormat="1" ht="22.5" x14ac:dyDescent="0.25">
      <c r="A3187" s="87">
        <v>27.23</v>
      </c>
      <c r="B3187" s="81" t="s">
        <v>94</v>
      </c>
      <c r="C3187" s="80">
        <v>42.1</v>
      </c>
      <c r="D3187" s="131" t="s">
        <v>2831</v>
      </c>
      <c r="E3187" s="83" t="s">
        <v>4057</v>
      </c>
      <c r="F3187" s="81" t="s">
        <v>216</v>
      </c>
      <c r="G3187" s="87">
        <v>-0.04</v>
      </c>
      <c r="H3187" s="85"/>
      <c r="I3187" s="86">
        <v>-53.77</v>
      </c>
      <c r="J3187" s="185">
        <f t="shared" si="310"/>
        <v>1530.56</v>
      </c>
      <c r="K3187" s="189">
        <f t="shared" si="308"/>
        <v>-61.22</v>
      </c>
      <c r="L3187" s="189"/>
      <c r="M3187" s="138"/>
      <c r="N3187" s="138"/>
      <c r="O3187" s="138"/>
      <c r="S3187" s="72"/>
      <c r="T3187" s="72"/>
      <c r="U3187" s="72"/>
      <c r="V3187" s="72"/>
    </row>
    <row r="3188" spans="1:22" s="63" customFormat="1" ht="15" x14ac:dyDescent="0.25">
      <c r="A3188" s="87">
        <v>27.24</v>
      </c>
      <c r="B3188" s="81" t="s">
        <v>94</v>
      </c>
      <c r="C3188" s="82">
        <v>43</v>
      </c>
      <c r="D3188" s="131" t="s">
        <v>360</v>
      </c>
      <c r="E3188" s="83" t="s">
        <v>361</v>
      </c>
      <c r="F3188" s="81" t="s">
        <v>226</v>
      </c>
      <c r="G3188" s="88">
        <v>1.9E-3</v>
      </c>
      <c r="H3188" s="85"/>
      <c r="I3188" s="86">
        <v>743.64</v>
      </c>
      <c r="J3188" s="185">
        <f t="shared" si="310"/>
        <v>445636.05</v>
      </c>
      <c r="K3188" s="189">
        <f t="shared" si="308"/>
        <v>846.71</v>
      </c>
      <c r="L3188" s="189"/>
      <c r="M3188" s="138"/>
      <c r="N3188" s="138"/>
      <c r="O3188" s="138"/>
      <c r="S3188" s="72"/>
      <c r="T3188" s="72"/>
      <c r="U3188" s="72"/>
      <c r="V3188" s="72"/>
    </row>
    <row r="3189" spans="1:22" s="63" customFormat="1" ht="22.5" x14ac:dyDescent="0.25">
      <c r="A3189" s="87">
        <v>27.25</v>
      </c>
      <c r="B3189" s="81" t="s">
        <v>94</v>
      </c>
      <c r="C3189" s="82">
        <v>44</v>
      </c>
      <c r="D3189" s="131" t="s">
        <v>783</v>
      </c>
      <c r="E3189" s="83" t="s">
        <v>784</v>
      </c>
      <c r="F3189" s="81" t="s">
        <v>219</v>
      </c>
      <c r="G3189" s="82">
        <v>1</v>
      </c>
      <c r="H3189" s="85"/>
      <c r="I3189" s="86">
        <v>3276.2</v>
      </c>
      <c r="J3189" s="185">
        <f t="shared" si="310"/>
        <v>3730.28</v>
      </c>
      <c r="K3189" s="189">
        <f t="shared" si="308"/>
        <v>3730.28</v>
      </c>
      <c r="L3189" s="189"/>
      <c r="M3189" s="138"/>
      <c r="N3189" s="138"/>
      <c r="O3189" s="138"/>
      <c r="S3189" s="72"/>
      <c r="T3189" s="72"/>
      <c r="U3189" s="72"/>
      <c r="V3189" s="72"/>
    </row>
    <row r="3190" spans="1:22" s="63" customFormat="1" ht="15" x14ac:dyDescent="0.25">
      <c r="A3190" s="194">
        <v>28</v>
      </c>
      <c r="B3190" s="418" t="s">
        <v>2845</v>
      </c>
      <c r="C3190" s="418"/>
      <c r="D3190" s="418"/>
      <c r="E3190" s="195" t="s">
        <v>97</v>
      </c>
      <c r="F3190" s="196"/>
      <c r="G3190" s="194"/>
      <c r="H3190" s="197">
        <v>986388.91</v>
      </c>
      <c r="I3190" s="355">
        <f>SUM(I3192:I3272)</f>
        <v>986388.87000000011</v>
      </c>
      <c r="J3190" s="200"/>
      <c r="K3190" s="198">
        <f>SUM(K3192:K3272)</f>
        <v>1123101.8699999996</v>
      </c>
      <c r="L3190" s="198"/>
      <c r="M3190" s="207"/>
      <c r="N3190" s="209"/>
      <c r="O3190" s="138"/>
      <c r="S3190" s="72"/>
      <c r="T3190" s="72"/>
      <c r="U3190" s="72"/>
      <c r="V3190" s="72"/>
    </row>
    <row r="3191" spans="1:22" s="224" customFormat="1" ht="15" x14ac:dyDescent="0.25">
      <c r="A3191" s="216"/>
      <c r="B3191" s="217"/>
      <c r="C3191" s="217"/>
      <c r="D3191" s="217"/>
      <c r="E3191" s="218" t="s">
        <v>3200</v>
      </c>
      <c r="F3191" s="219"/>
      <c r="G3191" s="216"/>
      <c r="H3191" s="220"/>
      <c r="I3191" s="221"/>
      <c r="J3191" s="244"/>
      <c r="K3191" s="221"/>
      <c r="L3191" s="221"/>
      <c r="M3191" s="222"/>
      <c r="N3191" s="223"/>
      <c r="O3191" s="245"/>
      <c r="S3191" s="225"/>
      <c r="T3191" s="225"/>
      <c r="U3191" s="225"/>
      <c r="V3191" s="225"/>
    </row>
    <row r="3192" spans="1:22" s="63" customFormat="1" ht="22.5" x14ac:dyDescent="0.25">
      <c r="A3192" s="80">
        <v>28.1</v>
      </c>
      <c r="B3192" s="81" t="s">
        <v>96</v>
      </c>
      <c r="C3192" s="82">
        <v>1</v>
      </c>
      <c r="D3192" s="131" t="s">
        <v>2846</v>
      </c>
      <c r="E3192" s="83" t="s">
        <v>2847</v>
      </c>
      <c r="F3192" s="81" t="s">
        <v>193</v>
      </c>
      <c r="G3192" s="84">
        <v>6.5000000000000002E-2</v>
      </c>
      <c r="H3192" s="85"/>
      <c r="I3192" s="86">
        <f>5196.1-0.04</f>
        <v>5196.0600000000004</v>
      </c>
      <c r="J3192" s="185">
        <f>ROUND($I3192/$G3192*$N$11,2)</f>
        <v>91018.98</v>
      </c>
      <c r="K3192" s="189">
        <f>ROUND(G3192*J3192,2)</f>
        <v>5916.23</v>
      </c>
      <c r="L3192" s="189"/>
      <c r="M3192" s="138"/>
      <c r="N3192" s="138"/>
      <c r="O3192" s="138"/>
      <c r="S3192" s="72"/>
      <c r="T3192" s="72"/>
      <c r="U3192" s="72"/>
      <c r="V3192" s="72"/>
    </row>
    <row r="3193" spans="1:22" s="63" customFormat="1" ht="22.5" x14ac:dyDescent="0.25">
      <c r="A3193" s="80">
        <v>28.2</v>
      </c>
      <c r="B3193" s="81" t="s">
        <v>96</v>
      </c>
      <c r="C3193" s="82">
        <v>2</v>
      </c>
      <c r="D3193" s="131" t="s">
        <v>2553</v>
      </c>
      <c r="E3193" s="83" t="s">
        <v>2554</v>
      </c>
      <c r="F3193" s="81" t="s">
        <v>196</v>
      </c>
      <c r="G3193" s="87">
        <v>0.05</v>
      </c>
      <c r="H3193" s="85"/>
      <c r="I3193" s="86">
        <v>9231.2199999999993</v>
      </c>
      <c r="J3193" s="185">
        <f>ROUND($I3193/$G3193*$N$11,2)</f>
        <v>210213.34</v>
      </c>
      <c r="K3193" s="189">
        <f>ROUND(G3193*J3193,2)</f>
        <v>10510.67</v>
      </c>
      <c r="L3193" s="189"/>
      <c r="M3193" s="138"/>
      <c r="N3193" s="138"/>
      <c r="O3193" s="138"/>
      <c r="S3193" s="72"/>
      <c r="T3193" s="72"/>
      <c r="U3193" s="72"/>
      <c r="V3193" s="72"/>
    </row>
    <row r="3194" spans="1:22" s="63" customFormat="1" ht="22.5" x14ac:dyDescent="0.25">
      <c r="A3194" s="80">
        <v>28.3</v>
      </c>
      <c r="B3194" s="81" t="s">
        <v>96</v>
      </c>
      <c r="C3194" s="82">
        <v>3</v>
      </c>
      <c r="D3194" s="131" t="s">
        <v>197</v>
      </c>
      <c r="E3194" s="83" t="s">
        <v>198</v>
      </c>
      <c r="F3194" s="81" t="s">
        <v>193</v>
      </c>
      <c r="G3194" s="87">
        <v>0.03</v>
      </c>
      <c r="H3194" s="85"/>
      <c r="I3194" s="86">
        <v>402.21</v>
      </c>
      <c r="J3194" s="185">
        <f>ROUND($I3194/$G3194*$N$11,2)</f>
        <v>15265.21</v>
      </c>
      <c r="K3194" s="189">
        <f>ROUND(G3194*J3194,2)</f>
        <v>457.96</v>
      </c>
      <c r="L3194" s="189"/>
      <c r="M3194" s="138"/>
      <c r="N3194" s="138"/>
      <c r="O3194" s="138"/>
      <c r="S3194" s="72"/>
      <c r="T3194" s="72"/>
      <c r="U3194" s="72"/>
      <c r="V3194" s="72"/>
    </row>
    <row r="3195" spans="1:22" s="63" customFormat="1" ht="15" x14ac:dyDescent="0.25">
      <c r="A3195" s="80">
        <v>28.4</v>
      </c>
      <c r="B3195" s="81" t="s">
        <v>96</v>
      </c>
      <c r="C3195" s="82">
        <v>4</v>
      </c>
      <c r="D3195" s="131" t="s">
        <v>201</v>
      </c>
      <c r="E3195" s="83" t="s">
        <v>202</v>
      </c>
      <c r="F3195" s="81" t="s">
        <v>196</v>
      </c>
      <c r="G3195" s="80">
        <v>0.3</v>
      </c>
      <c r="H3195" s="85"/>
      <c r="I3195" s="86">
        <v>4899.0200000000004</v>
      </c>
      <c r="J3195" s="185">
        <f>ROUND($I3195/$G3195*$N$11,2)</f>
        <v>18593.41</v>
      </c>
      <c r="K3195" s="189">
        <f>ROUND(G3195*J3195,2)</f>
        <v>5578.02</v>
      </c>
      <c r="L3195" s="189"/>
      <c r="M3195" s="138"/>
      <c r="N3195" s="138"/>
      <c r="O3195" s="138"/>
      <c r="S3195" s="72"/>
      <c r="T3195" s="72"/>
      <c r="U3195" s="72"/>
      <c r="V3195" s="72"/>
    </row>
    <row r="3196" spans="1:22" s="128" customFormat="1" ht="12.75" x14ac:dyDescent="0.25">
      <c r="A3196" s="236"/>
      <c r="B3196" s="125"/>
      <c r="C3196" s="76"/>
      <c r="D3196" s="77"/>
      <c r="E3196" s="126" t="s">
        <v>39</v>
      </c>
      <c r="F3196" s="125"/>
      <c r="G3196" s="236"/>
      <c r="H3196" s="127"/>
      <c r="I3196" s="78"/>
      <c r="J3196" s="238"/>
      <c r="K3196" s="239"/>
      <c r="L3196" s="239"/>
      <c r="M3196" s="79"/>
      <c r="N3196" s="79"/>
      <c r="O3196" s="79"/>
      <c r="S3196" s="129"/>
      <c r="T3196" s="129"/>
      <c r="U3196" s="129"/>
      <c r="V3196" s="129"/>
    </row>
    <row r="3197" spans="1:22" s="63" customFormat="1" ht="15" x14ac:dyDescent="0.25">
      <c r="A3197" s="80">
        <v>28.5</v>
      </c>
      <c r="B3197" s="81" t="s">
        <v>96</v>
      </c>
      <c r="C3197" s="82">
        <v>5</v>
      </c>
      <c r="D3197" s="131" t="s">
        <v>317</v>
      </c>
      <c r="E3197" s="83" t="s">
        <v>318</v>
      </c>
      <c r="F3197" s="81" t="s">
        <v>319</v>
      </c>
      <c r="G3197" s="80">
        <v>0.5</v>
      </c>
      <c r="H3197" s="85"/>
      <c r="I3197" s="86">
        <v>14521.38</v>
      </c>
      <c r="J3197" s="185">
        <f t="shared" ref="J3197:J3213" si="311">ROUND($I3197/$G3197*$N$11,2)</f>
        <v>33068.089999999997</v>
      </c>
      <c r="K3197" s="189">
        <f t="shared" ref="K3197:K3213" si="312">ROUND(G3197*J3197,2)</f>
        <v>16534.05</v>
      </c>
      <c r="L3197" s="189"/>
      <c r="M3197" s="138"/>
      <c r="N3197" s="138"/>
      <c r="O3197" s="138"/>
      <c r="S3197" s="72"/>
      <c r="T3197" s="72"/>
      <c r="U3197" s="72"/>
      <c r="V3197" s="72"/>
    </row>
    <row r="3198" spans="1:22" s="63" customFormat="1" ht="15" x14ac:dyDescent="0.25">
      <c r="A3198" s="80">
        <v>28.6</v>
      </c>
      <c r="B3198" s="81" t="s">
        <v>96</v>
      </c>
      <c r="C3198" s="82">
        <v>6</v>
      </c>
      <c r="D3198" s="131" t="s">
        <v>294</v>
      </c>
      <c r="E3198" s="83" t="s">
        <v>295</v>
      </c>
      <c r="F3198" s="81" t="s">
        <v>196</v>
      </c>
      <c r="G3198" s="87">
        <v>0.04</v>
      </c>
      <c r="H3198" s="85"/>
      <c r="I3198" s="86">
        <v>8037.14</v>
      </c>
      <c r="J3198" s="185">
        <f t="shared" si="311"/>
        <v>228777.19</v>
      </c>
      <c r="K3198" s="189">
        <f t="shared" si="312"/>
        <v>9151.09</v>
      </c>
      <c r="L3198" s="189"/>
      <c r="M3198" s="138"/>
      <c r="N3198" s="138"/>
      <c r="O3198" s="138"/>
      <c r="S3198" s="72"/>
      <c r="T3198" s="72"/>
      <c r="U3198" s="72"/>
      <c r="V3198" s="72"/>
    </row>
    <row r="3199" spans="1:22" s="63" customFormat="1" ht="22.5" x14ac:dyDescent="0.25">
      <c r="A3199" s="80">
        <v>28.7</v>
      </c>
      <c r="B3199" s="81" t="s">
        <v>96</v>
      </c>
      <c r="C3199" s="80">
        <v>6.1</v>
      </c>
      <c r="D3199" s="131" t="s">
        <v>2298</v>
      </c>
      <c r="E3199" s="83" t="s">
        <v>2299</v>
      </c>
      <c r="F3199" s="81" t="s">
        <v>205</v>
      </c>
      <c r="G3199" s="87">
        <v>4.08</v>
      </c>
      <c r="H3199" s="85"/>
      <c r="I3199" s="86">
        <v>22422.62</v>
      </c>
      <c r="J3199" s="185">
        <f t="shared" si="311"/>
        <v>6257.45</v>
      </c>
      <c r="K3199" s="189">
        <f t="shared" si="312"/>
        <v>25530.400000000001</v>
      </c>
      <c r="L3199" s="189"/>
      <c r="M3199" s="138"/>
      <c r="N3199" s="138"/>
      <c r="O3199" s="138"/>
      <c r="S3199" s="72"/>
      <c r="T3199" s="72"/>
      <c r="U3199" s="72"/>
      <c r="V3199" s="72"/>
    </row>
    <row r="3200" spans="1:22" s="63" customFormat="1" ht="22.5" x14ac:dyDescent="0.25">
      <c r="A3200" s="80">
        <v>28.8</v>
      </c>
      <c r="B3200" s="81" t="s">
        <v>96</v>
      </c>
      <c r="C3200" s="82">
        <v>7</v>
      </c>
      <c r="D3200" s="131" t="s">
        <v>2340</v>
      </c>
      <c r="E3200" s="83" t="s">
        <v>2848</v>
      </c>
      <c r="F3200" s="81" t="s">
        <v>319</v>
      </c>
      <c r="G3200" s="87">
        <v>2.5499999999999998</v>
      </c>
      <c r="H3200" s="85"/>
      <c r="I3200" s="86">
        <v>27623.26</v>
      </c>
      <c r="J3200" s="185">
        <f t="shared" si="311"/>
        <v>12334.06</v>
      </c>
      <c r="K3200" s="189">
        <f t="shared" si="312"/>
        <v>31451.85</v>
      </c>
      <c r="L3200" s="189"/>
      <c r="M3200" s="138"/>
      <c r="N3200" s="138"/>
      <c r="O3200" s="138"/>
      <c r="S3200" s="72"/>
      <c r="T3200" s="72"/>
      <c r="U3200" s="72"/>
      <c r="V3200" s="72"/>
    </row>
    <row r="3201" spans="1:22" s="63" customFormat="1" ht="22.5" x14ac:dyDescent="0.25">
      <c r="A3201" s="80">
        <v>28.9</v>
      </c>
      <c r="B3201" s="81" t="s">
        <v>96</v>
      </c>
      <c r="C3201" s="80">
        <v>7.1</v>
      </c>
      <c r="D3201" s="131" t="s">
        <v>2849</v>
      </c>
      <c r="E3201" s="83" t="s">
        <v>2850</v>
      </c>
      <c r="F3201" s="81" t="s">
        <v>205</v>
      </c>
      <c r="G3201" s="87">
        <v>28.05</v>
      </c>
      <c r="H3201" s="85"/>
      <c r="I3201" s="86">
        <v>9465.19</v>
      </c>
      <c r="J3201" s="185">
        <f t="shared" si="311"/>
        <v>384.21</v>
      </c>
      <c r="K3201" s="189">
        <f t="shared" si="312"/>
        <v>10777.09</v>
      </c>
      <c r="L3201" s="189"/>
      <c r="M3201" s="138"/>
      <c r="N3201" s="138"/>
      <c r="O3201" s="138"/>
      <c r="S3201" s="72"/>
      <c r="T3201" s="72"/>
      <c r="U3201" s="72"/>
      <c r="V3201" s="72"/>
    </row>
    <row r="3202" spans="1:22" s="63" customFormat="1" ht="22.5" x14ac:dyDescent="0.25">
      <c r="A3202" s="87">
        <v>28.1</v>
      </c>
      <c r="B3202" s="81" t="s">
        <v>96</v>
      </c>
      <c r="C3202" s="82">
        <v>8</v>
      </c>
      <c r="D3202" s="131" t="s">
        <v>2851</v>
      </c>
      <c r="E3202" s="83" t="s">
        <v>2852</v>
      </c>
      <c r="F3202" s="81" t="s">
        <v>196</v>
      </c>
      <c r="G3202" s="88">
        <v>9.6600000000000005E-2</v>
      </c>
      <c r="H3202" s="85"/>
      <c r="I3202" s="86">
        <v>62478.5</v>
      </c>
      <c r="J3202" s="185">
        <f t="shared" si="311"/>
        <v>736418.43</v>
      </c>
      <c r="K3202" s="189">
        <f t="shared" si="312"/>
        <v>71138.02</v>
      </c>
      <c r="L3202" s="189"/>
      <c r="M3202" s="138"/>
      <c r="N3202" s="138"/>
      <c r="O3202" s="138"/>
      <c r="S3202" s="72"/>
      <c r="T3202" s="72"/>
      <c r="U3202" s="72"/>
      <c r="V3202" s="72"/>
    </row>
    <row r="3203" spans="1:22" s="63" customFormat="1" ht="18.75" customHeight="1" x14ac:dyDescent="0.25">
      <c r="A3203" s="87">
        <v>28.11</v>
      </c>
      <c r="B3203" s="81" t="s">
        <v>96</v>
      </c>
      <c r="C3203" s="80">
        <v>8.1</v>
      </c>
      <c r="D3203" s="131" t="s">
        <v>2853</v>
      </c>
      <c r="E3203" s="83" t="s">
        <v>2854</v>
      </c>
      <c r="F3203" s="81" t="s">
        <v>205</v>
      </c>
      <c r="G3203" s="89">
        <v>0.22217999999999999</v>
      </c>
      <c r="H3203" s="85"/>
      <c r="I3203" s="86">
        <v>1576.73</v>
      </c>
      <c r="J3203" s="185">
        <f t="shared" si="311"/>
        <v>8080.23</v>
      </c>
      <c r="K3203" s="189">
        <f t="shared" si="312"/>
        <v>1795.27</v>
      </c>
      <c r="L3203" s="189"/>
      <c r="M3203" s="138"/>
      <c r="N3203" s="138"/>
      <c r="O3203" s="138"/>
      <c r="S3203" s="72"/>
      <c r="T3203" s="72"/>
      <c r="U3203" s="72"/>
      <c r="V3203" s="72"/>
    </row>
    <row r="3204" spans="1:22" s="63" customFormat="1" ht="18.75" customHeight="1" x14ac:dyDescent="0.25">
      <c r="A3204" s="87">
        <v>28.12</v>
      </c>
      <c r="B3204" s="81" t="s">
        <v>96</v>
      </c>
      <c r="C3204" s="80">
        <v>8.1999999999999993</v>
      </c>
      <c r="D3204" s="131" t="s">
        <v>2855</v>
      </c>
      <c r="E3204" s="83" t="s">
        <v>4058</v>
      </c>
      <c r="F3204" s="81" t="s">
        <v>219</v>
      </c>
      <c r="G3204" s="82">
        <v>8</v>
      </c>
      <c r="H3204" s="85"/>
      <c r="I3204" s="86">
        <v>54120.58</v>
      </c>
      <c r="J3204" s="185">
        <f t="shared" si="311"/>
        <v>7702.71</v>
      </c>
      <c r="K3204" s="189">
        <f t="shared" si="312"/>
        <v>61621.68</v>
      </c>
      <c r="L3204" s="189"/>
      <c r="M3204" s="138"/>
      <c r="N3204" s="138"/>
      <c r="O3204" s="138"/>
      <c r="S3204" s="72"/>
      <c r="T3204" s="72"/>
      <c r="U3204" s="72"/>
      <c r="V3204" s="72"/>
    </row>
    <row r="3205" spans="1:22" s="63" customFormat="1" ht="18.75" customHeight="1" x14ac:dyDescent="0.25">
      <c r="A3205" s="87">
        <v>28.13</v>
      </c>
      <c r="B3205" s="81" t="s">
        <v>96</v>
      </c>
      <c r="C3205" s="80">
        <v>8.3000000000000007</v>
      </c>
      <c r="D3205" s="131" t="s">
        <v>2856</v>
      </c>
      <c r="E3205" s="83" t="s">
        <v>4059</v>
      </c>
      <c r="F3205" s="81" t="s">
        <v>219</v>
      </c>
      <c r="G3205" s="82">
        <v>2</v>
      </c>
      <c r="H3205" s="85"/>
      <c r="I3205" s="86">
        <v>6488.53</v>
      </c>
      <c r="J3205" s="185">
        <f t="shared" si="311"/>
        <v>3693.92</v>
      </c>
      <c r="K3205" s="189">
        <f t="shared" si="312"/>
        <v>7387.84</v>
      </c>
      <c r="L3205" s="189"/>
      <c r="M3205" s="138"/>
      <c r="N3205" s="138"/>
      <c r="O3205" s="138"/>
      <c r="S3205" s="72"/>
      <c r="T3205" s="72"/>
      <c r="U3205" s="72"/>
      <c r="V3205" s="72"/>
    </row>
    <row r="3206" spans="1:22" s="63" customFormat="1" ht="18.75" customHeight="1" x14ac:dyDescent="0.25">
      <c r="A3206" s="87">
        <v>28.14</v>
      </c>
      <c r="B3206" s="81" t="s">
        <v>96</v>
      </c>
      <c r="C3206" s="80">
        <v>8.4</v>
      </c>
      <c r="D3206" s="131" t="s">
        <v>2592</v>
      </c>
      <c r="E3206" s="83" t="s">
        <v>2593</v>
      </c>
      <c r="F3206" s="81" t="s">
        <v>205</v>
      </c>
      <c r="G3206" s="87">
        <v>2.04</v>
      </c>
      <c r="H3206" s="85"/>
      <c r="I3206" s="86">
        <v>20527.27</v>
      </c>
      <c r="J3206" s="185">
        <f t="shared" si="311"/>
        <v>11457.03</v>
      </c>
      <c r="K3206" s="189">
        <f t="shared" si="312"/>
        <v>23372.34</v>
      </c>
      <c r="L3206" s="189"/>
      <c r="M3206" s="138"/>
      <c r="N3206" s="138"/>
      <c r="O3206" s="138"/>
      <c r="S3206" s="72"/>
      <c r="T3206" s="72"/>
      <c r="U3206" s="72"/>
      <c r="V3206" s="72"/>
    </row>
    <row r="3207" spans="1:22" s="63" customFormat="1" ht="22.5" x14ac:dyDescent="0.25">
      <c r="A3207" s="87">
        <v>28.15</v>
      </c>
      <c r="B3207" s="81" t="s">
        <v>96</v>
      </c>
      <c r="C3207" s="82">
        <v>9</v>
      </c>
      <c r="D3207" s="131" t="s">
        <v>2857</v>
      </c>
      <c r="E3207" s="83" t="s">
        <v>2858</v>
      </c>
      <c r="F3207" s="81" t="s">
        <v>196</v>
      </c>
      <c r="G3207" s="84">
        <v>3.5000000000000003E-2</v>
      </c>
      <c r="H3207" s="85"/>
      <c r="I3207" s="86">
        <v>82978.240000000005</v>
      </c>
      <c r="J3207" s="185">
        <f t="shared" si="311"/>
        <v>2699400.69</v>
      </c>
      <c r="K3207" s="189">
        <f t="shared" si="312"/>
        <v>94479.02</v>
      </c>
      <c r="L3207" s="189"/>
      <c r="M3207" s="138"/>
      <c r="N3207" s="138"/>
      <c r="O3207" s="138"/>
      <c r="S3207" s="72"/>
      <c r="T3207" s="72"/>
      <c r="U3207" s="72"/>
      <c r="V3207" s="72"/>
    </row>
    <row r="3208" spans="1:22" s="63" customFormat="1" ht="33.75" x14ac:dyDescent="0.25">
      <c r="A3208" s="87">
        <v>28.16</v>
      </c>
      <c r="B3208" s="81" t="s">
        <v>96</v>
      </c>
      <c r="C3208" s="82">
        <v>10</v>
      </c>
      <c r="D3208" s="131" t="s">
        <v>2859</v>
      </c>
      <c r="E3208" s="83" t="s">
        <v>2860</v>
      </c>
      <c r="F3208" s="81" t="s">
        <v>205</v>
      </c>
      <c r="G3208" s="84">
        <v>0.32400000000000001</v>
      </c>
      <c r="H3208" s="85"/>
      <c r="I3208" s="86">
        <v>6942.93</v>
      </c>
      <c r="J3208" s="185">
        <f t="shared" si="311"/>
        <v>24398.83</v>
      </c>
      <c r="K3208" s="189">
        <f t="shared" si="312"/>
        <v>7905.22</v>
      </c>
      <c r="L3208" s="189"/>
      <c r="M3208" s="138"/>
      <c r="N3208" s="138"/>
      <c r="O3208" s="138"/>
      <c r="S3208" s="72"/>
      <c r="T3208" s="72"/>
      <c r="U3208" s="72"/>
      <c r="V3208" s="72"/>
    </row>
    <row r="3209" spans="1:22" s="63" customFormat="1" ht="22.5" x14ac:dyDescent="0.25">
      <c r="A3209" s="87">
        <v>28.17</v>
      </c>
      <c r="B3209" s="81" t="s">
        <v>96</v>
      </c>
      <c r="C3209" s="80">
        <v>10.1</v>
      </c>
      <c r="D3209" s="131" t="s">
        <v>2861</v>
      </c>
      <c r="E3209" s="83" t="s">
        <v>4060</v>
      </c>
      <c r="F3209" s="81" t="s">
        <v>370</v>
      </c>
      <c r="G3209" s="80">
        <v>7.2</v>
      </c>
      <c r="H3209" s="85"/>
      <c r="I3209" s="86">
        <v>2374.16</v>
      </c>
      <c r="J3209" s="185">
        <f t="shared" si="311"/>
        <v>375.45</v>
      </c>
      <c r="K3209" s="189">
        <f t="shared" si="312"/>
        <v>2703.24</v>
      </c>
      <c r="L3209" s="189"/>
      <c r="M3209" s="138"/>
      <c r="N3209" s="138"/>
      <c r="O3209" s="138"/>
      <c r="S3209" s="72"/>
      <c r="T3209" s="72"/>
      <c r="U3209" s="72"/>
      <c r="V3209" s="72"/>
    </row>
    <row r="3210" spans="1:22" s="63" customFormat="1" ht="15" x14ac:dyDescent="0.25">
      <c r="A3210" s="87">
        <v>28.18</v>
      </c>
      <c r="B3210" s="81" t="s">
        <v>96</v>
      </c>
      <c r="C3210" s="82">
        <v>11</v>
      </c>
      <c r="D3210" s="131" t="s">
        <v>381</v>
      </c>
      <c r="E3210" s="83" t="s">
        <v>382</v>
      </c>
      <c r="F3210" s="81" t="s">
        <v>207</v>
      </c>
      <c r="G3210" s="87">
        <v>0.55000000000000004</v>
      </c>
      <c r="H3210" s="85"/>
      <c r="I3210" s="86">
        <v>20961.45</v>
      </c>
      <c r="J3210" s="185">
        <f t="shared" si="311"/>
        <v>43394.01</v>
      </c>
      <c r="K3210" s="189">
        <f t="shared" si="312"/>
        <v>23866.71</v>
      </c>
      <c r="L3210" s="189"/>
      <c r="M3210" s="138"/>
      <c r="N3210" s="138"/>
      <c r="O3210" s="138"/>
      <c r="S3210" s="72"/>
      <c r="T3210" s="72"/>
      <c r="U3210" s="72"/>
      <c r="V3210" s="72"/>
    </row>
    <row r="3211" spans="1:22" s="63" customFormat="1" ht="22.5" x14ac:dyDescent="0.25">
      <c r="A3211" s="87">
        <v>28.19</v>
      </c>
      <c r="B3211" s="81" t="s">
        <v>96</v>
      </c>
      <c r="C3211" s="80">
        <v>11.1</v>
      </c>
      <c r="D3211" s="131" t="s">
        <v>2853</v>
      </c>
      <c r="E3211" s="83" t="s">
        <v>2854</v>
      </c>
      <c r="F3211" s="81" t="s">
        <v>205</v>
      </c>
      <c r="G3211" s="84">
        <v>1.1220000000000001</v>
      </c>
      <c r="H3211" s="85"/>
      <c r="I3211" s="86">
        <v>7962.25</v>
      </c>
      <c r="J3211" s="185">
        <f t="shared" si="311"/>
        <v>8080.05</v>
      </c>
      <c r="K3211" s="189">
        <f t="shared" si="312"/>
        <v>9065.82</v>
      </c>
      <c r="L3211" s="189"/>
      <c r="M3211" s="138"/>
      <c r="N3211" s="138"/>
      <c r="O3211" s="138"/>
      <c r="S3211" s="72"/>
      <c r="T3211" s="72"/>
      <c r="U3211" s="72"/>
      <c r="V3211" s="72"/>
    </row>
    <row r="3212" spans="1:22" s="63" customFormat="1" ht="22.5" x14ac:dyDescent="0.25">
      <c r="A3212" s="87">
        <v>28.2</v>
      </c>
      <c r="B3212" s="81" t="s">
        <v>96</v>
      </c>
      <c r="C3212" s="82">
        <v>12</v>
      </c>
      <c r="D3212" s="131" t="s">
        <v>2862</v>
      </c>
      <c r="E3212" s="83" t="s">
        <v>2863</v>
      </c>
      <c r="F3212" s="81" t="s">
        <v>207</v>
      </c>
      <c r="G3212" s="87">
        <v>0.56999999999999995</v>
      </c>
      <c r="H3212" s="85"/>
      <c r="I3212" s="86">
        <v>40126.870000000003</v>
      </c>
      <c r="J3212" s="185">
        <f t="shared" si="311"/>
        <v>80155.179999999993</v>
      </c>
      <c r="K3212" s="189">
        <f t="shared" si="312"/>
        <v>45688.45</v>
      </c>
      <c r="L3212" s="189"/>
      <c r="M3212" s="138"/>
      <c r="N3212" s="138"/>
      <c r="O3212" s="138"/>
      <c r="S3212" s="72"/>
      <c r="T3212" s="72"/>
      <c r="U3212" s="72"/>
      <c r="V3212" s="72"/>
    </row>
    <row r="3213" spans="1:22" s="63" customFormat="1" ht="15.75" customHeight="1" x14ac:dyDescent="0.25">
      <c r="A3213" s="87">
        <v>28.21</v>
      </c>
      <c r="B3213" s="81" t="s">
        <v>96</v>
      </c>
      <c r="C3213" s="80">
        <v>12.1</v>
      </c>
      <c r="D3213" s="131" t="s">
        <v>2864</v>
      </c>
      <c r="E3213" s="83" t="s">
        <v>2865</v>
      </c>
      <c r="F3213" s="81" t="s">
        <v>370</v>
      </c>
      <c r="G3213" s="80">
        <v>131.1</v>
      </c>
      <c r="H3213" s="85"/>
      <c r="I3213" s="86">
        <v>15553.32</v>
      </c>
      <c r="J3213" s="185">
        <f t="shared" si="311"/>
        <v>135.08000000000001</v>
      </c>
      <c r="K3213" s="189">
        <f t="shared" si="312"/>
        <v>17708.990000000002</v>
      </c>
      <c r="L3213" s="189"/>
      <c r="M3213" s="138"/>
      <c r="N3213" s="138"/>
      <c r="O3213" s="138"/>
      <c r="S3213" s="72"/>
      <c r="T3213" s="72"/>
      <c r="U3213" s="72"/>
      <c r="V3213" s="72"/>
    </row>
    <row r="3214" spans="1:22" s="128" customFormat="1" ht="12.75" x14ac:dyDescent="0.25">
      <c r="A3214" s="237"/>
      <c r="B3214" s="125"/>
      <c r="C3214" s="236"/>
      <c r="D3214" s="77"/>
      <c r="E3214" s="126" t="s">
        <v>3405</v>
      </c>
      <c r="F3214" s="125"/>
      <c r="G3214" s="236"/>
      <c r="H3214" s="127"/>
      <c r="I3214" s="78"/>
      <c r="J3214" s="238"/>
      <c r="K3214" s="239"/>
      <c r="L3214" s="239"/>
      <c r="M3214" s="79"/>
      <c r="N3214" s="79"/>
      <c r="O3214" s="79"/>
      <c r="S3214" s="129"/>
      <c r="T3214" s="129"/>
      <c r="U3214" s="129"/>
      <c r="V3214" s="129"/>
    </row>
    <row r="3215" spans="1:22" s="63" customFormat="1" ht="33.75" x14ac:dyDescent="0.25">
      <c r="A3215" s="87">
        <v>28.22</v>
      </c>
      <c r="B3215" s="81" t="s">
        <v>96</v>
      </c>
      <c r="C3215" s="82">
        <v>13</v>
      </c>
      <c r="D3215" s="131" t="s">
        <v>2866</v>
      </c>
      <c r="E3215" s="83" t="s">
        <v>2867</v>
      </c>
      <c r="F3215" s="81" t="s">
        <v>2350</v>
      </c>
      <c r="G3215" s="84">
        <v>5.0000000000000001E-3</v>
      </c>
      <c r="H3215" s="85"/>
      <c r="I3215" s="86">
        <v>5588.67</v>
      </c>
      <c r="J3215" s="185">
        <f t="shared" ref="J3215:J3238" si="313">ROUND($I3215/$G3215*$N$11,2)</f>
        <v>1272651.93</v>
      </c>
      <c r="K3215" s="189">
        <f t="shared" ref="K3215:K3238" si="314">ROUND(G3215*J3215,2)</f>
        <v>6363.26</v>
      </c>
      <c r="L3215" s="189"/>
      <c r="M3215" s="138"/>
      <c r="N3215" s="138"/>
      <c r="O3215" s="138"/>
      <c r="S3215" s="72"/>
      <c r="T3215" s="72"/>
      <c r="U3215" s="72"/>
      <c r="V3215" s="72"/>
    </row>
    <row r="3216" spans="1:22" s="63" customFormat="1" ht="16.5" customHeight="1" x14ac:dyDescent="0.25">
      <c r="A3216" s="87">
        <v>28.23</v>
      </c>
      <c r="B3216" s="81" t="s">
        <v>96</v>
      </c>
      <c r="C3216" s="80">
        <v>13.1</v>
      </c>
      <c r="D3216" s="131" t="s">
        <v>2868</v>
      </c>
      <c r="E3216" s="83" t="s">
        <v>2869</v>
      </c>
      <c r="F3216" s="81" t="s">
        <v>226</v>
      </c>
      <c r="G3216" s="89">
        <v>-5.0000000000000002E-5</v>
      </c>
      <c r="H3216" s="85"/>
      <c r="I3216" s="86">
        <v>-4.08</v>
      </c>
      <c r="J3216" s="185">
        <f t="shared" si="313"/>
        <v>92909.759999999995</v>
      </c>
      <c r="K3216" s="189">
        <f t="shared" si="314"/>
        <v>-4.6500000000000004</v>
      </c>
      <c r="L3216" s="189"/>
      <c r="M3216" s="138"/>
      <c r="N3216" s="138"/>
      <c r="O3216" s="138"/>
      <c r="S3216" s="72"/>
      <c r="T3216" s="72"/>
      <c r="U3216" s="72"/>
      <c r="V3216" s="72"/>
    </row>
    <row r="3217" spans="1:22" s="63" customFormat="1" ht="16.5" customHeight="1" x14ac:dyDescent="0.25">
      <c r="A3217" s="87">
        <v>28.24</v>
      </c>
      <c r="B3217" s="81" t="s">
        <v>96</v>
      </c>
      <c r="C3217" s="80">
        <v>13.2</v>
      </c>
      <c r="D3217" s="131" t="s">
        <v>2870</v>
      </c>
      <c r="E3217" s="83" t="s">
        <v>2871</v>
      </c>
      <c r="F3217" s="81" t="s">
        <v>219</v>
      </c>
      <c r="G3217" s="87">
        <v>0.86</v>
      </c>
      <c r="H3217" s="85"/>
      <c r="I3217" s="86">
        <v>1332.36</v>
      </c>
      <c r="J3217" s="185">
        <f t="shared" si="313"/>
        <v>1763.98</v>
      </c>
      <c r="K3217" s="189">
        <f t="shared" si="314"/>
        <v>1517.02</v>
      </c>
      <c r="L3217" s="189"/>
      <c r="M3217" s="138"/>
      <c r="N3217" s="138"/>
      <c r="O3217" s="138"/>
      <c r="S3217" s="72"/>
      <c r="T3217" s="72"/>
      <c r="U3217" s="72"/>
      <c r="V3217" s="72"/>
    </row>
    <row r="3218" spans="1:22" s="63" customFormat="1" ht="16.5" customHeight="1" x14ac:dyDescent="0.25">
      <c r="A3218" s="87">
        <v>28.25</v>
      </c>
      <c r="B3218" s="81" t="s">
        <v>96</v>
      </c>
      <c r="C3218" s="80">
        <v>13.3</v>
      </c>
      <c r="D3218" s="131" t="s">
        <v>2872</v>
      </c>
      <c r="E3218" s="83" t="s">
        <v>4061</v>
      </c>
      <c r="F3218" s="81" t="s">
        <v>334</v>
      </c>
      <c r="G3218" s="87">
        <v>5.05</v>
      </c>
      <c r="H3218" s="85"/>
      <c r="I3218" s="86">
        <v>3051.08</v>
      </c>
      <c r="J3218" s="185">
        <f t="shared" si="313"/>
        <v>687.91</v>
      </c>
      <c r="K3218" s="189">
        <f t="shared" si="314"/>
        <v>3473.95</v>
      </c>
      <c r="L3218" s="189"/>
      <c r="M3218" s="138"/>
      <c r="N3218" s="138"/>
      <c r="O3218" s="138"/>
      <c r="S3218" s="72"/>
      <c r="T3218" s="72"/>
      <c r="U3218" s="72"/>
      <c r="V3218" s="72"/>
    </row>
    <row r="3219" spans="1:22" s="63" customFormat="1" ht="16.5" customHeight="1" x14ac:dyDescent="0.25">
      <c r="A3219" s="87">
        <v>28.26</v>
      </c>
      <c r="B3219" s="81" t="s">
        <v>96</v>
      </c>
      <c r="C3219" s="80">
        <v>13.4</v>
      </c>
      <c r="D3219" s="131" t="s">
        <v>2873</v>
      </c>
      <c r="E3219" s="83" t="s">
        <v>4062</v>
      </c>
      <c r="F3219" s="81" t="s">
        <v>219</v>
      </c>
      <c r="G3219" s="82">
        <v>2</v>
      </c>
      <c r="H3219" s="85"/>
      <c r="I3219" s="86">
        <v>653.12</v>
      </c>
      <c r="J3219" s="185">
        <f t="shared" si="313"/>
        <v>371.82</v>
      </c>
      <c r="K3219" s="189">
        <f t="shared" si="314"/>
        <v>743.64</v>
      </c>
      <c r="L3219" s="189"/>
      <c r="M3219" s="138"/>
      <c r="N3219" s="138"/>
      <c r="O3219" s="138"/>
      <c r="S3219" s="72"/>
      <c r="T3219" s="72"/>
      <c r="U3219" s="72"/>
      <c r="V3219" s="72"/>
    </row>
    <row r="3220" spans="1:22" s="63" customFormat="1" ht="16.5" customHeight="1" x14ac:dyDescent="0.25">
      <c r="A3220" s="87">
        <v>28.27</v>
      </c>
      <c r="B3220" s="81" t="s">
        <v>96</v>
      </c>
      <c r="C3220" s="80">
        <v>13.5</v>
      </c>
      <c r="D3220" s="131" t="s">
        <v>2874</v>
      </c>
      <c r="E3220" s="83" t="s">
        <v>2875</v>
      </c>
      <c r="F3220" s="81" t="s">
        <v>219</v>
      </c>
      <c r="G3220" s="82">
        <v>2</v>
      </c>
      <c r="H3220" s="85"/>
      <c r="I3220" s="86">
        <v>3180.19</v>
      </c>
      <c r="J3220" s="185">
        <f t="shared" si="313"/>
        <v>1810.48</v>
      </c>
      <c r="K3220" s="189">
        <f t="shared" si="314"/>
        <v>3620.96</v>
      </c>
      <c r="L3220" s="189"/>
      <c r="M3220" s="138"/>
      <c r="N3220" s="138"/>
      <c r="O3220" s="138"/>
      <c r="S3220" s="72"/>
      <c r="T3220" s="72"/>
      <c r="U3220" s="72"/>
      <c r="V3220" s="72"/>
    </row>
    <row r="3221" spans="1:22" s="63" customFormat="1" ht="33.75" x14ac:dyDescent="0.25">
      <c r="A3221" s="87">
        <v>28.28</v>
      </c>
      <c r="B3221" s="81" t="s">
        <v>96</v>
      </c>
      <c r="C3221" s="82">
        <v>14</v>
      </c>
      <c r="D3221" s="131" t="s">
        <v>2876</v>
      </c>
      <c r="E3221" s="83" t="s">
        <v>2877</v>
      </c>
      <c r="F3221" s="81" t="s">
        <v>2350</v>
      </c>
      <c r="G3221" s="84">
        <v>4.8000000000000001E-2</v>
      </c>
      <c r="H3221" s="85"/>
      <c r="I3221" s="86">
        <v>57955.5</v>
      </c>
      <c r="J3221" s="185">
        <f t="shared" si="313"/>
        <v>1374752.76</v>
      </c>
      <c r="K3221" s="189">
        <f t="shared" si="314"/>
        <v>65988.13</v>
      </c>
      <c r="L3221" s="189"/>
      <c r="M3221" s="138"/>
      <c r="N3221" s="138"/>
      <c r="O3221" s="138"/>
      <c r="S3221" s="72"/>
      <c r="T3221" s="72"/>
      <c r="U3221" s="72"/>
      <c r="V3221" s="72"/>
    </row>
    <row r="3222" spans="1:22" s="63" customFormat="1" ht="15.75" customHeight="1" x14ac:dyDescent="0.25">
      <c r="A3222" s="87">
        <v>28.29</v>
      </c>
      <c r="B3222" s="81" t="s">
        <v>96</v>
      </c>
      <c r="C3222" s="80">
        <v>14.1</v>
      </c>
      <c r="D3222" s="131" t="s">
        <v>2870</v>
      </c>
      <c r="E3222" s="83" t="s">
        <v>2871</v>
      </c>
      <c r="F3222" s="81" t="s">
        <v>219</v>
      </c>
      <c r="G3222" s="84">
        <v>8.2560000000000002</v>
      </c>
      <c r="H3222" s="85"/>
      <c r="I3222" s="86">
        <v>12790.93</v>
      </c>
      <c r="J3222" s="185">
        <f t="shared" si="313"/>
        <v>1764.02</v>
      </c>
      <c r="K3222" s="189">
        <f t="shared" si="314"/>
        <v>14563.75</v>
      </c>
      <c r="L3222" s="189"/>
      <c r="M3222" s="138"/>
      <c r="N3222" s="138"/>
      <c r="O3222" s="138"/>
      <c r="S3222" s="72"/>
      <c r="T3222" s="72"/>
      <c r="U3222" s="72"/>
      <c r="V3222" s="72"/>
    </row>
    <row r="3223" spans="1:22" s="63" customFormat="1" ht="15.75" customHeight="1" x14ac:dyDescent="0.25">
      <c r="A3223" s="87">
        <v>28.3</v>
      </c>
      <c r="B3223" s="81" t="s">
        <v>96</v>
      </c>
      <c r="C3223" s="80">
        <v>14.2</v>
      </c>
      <c r="D3223" s="131" t="s">
        <v>2878</v>
      </c>
      <c r="E3223" s="83" t="s">
        <v>4063</v>
      </c>
      <c r="F3223" s="81" t="s">
        <v>334</v>
      </c>
      <c r="G3223" s="82">
        <v>48</v>
      </c>
      <c r="H3223" s="85"/>
      <c r="I3223" s="86">
        <v>45491.71</v>
      </c>
      <c r="J3223" s="185">
        <f t="shared" si="313"/>
        <v>1079.0999999999999</v>
      </c>
      <c r="K3223" s="189">
        <f t="shared" si="314"/>
        <v>51796.800000000003</v>
      </c>
      <c r="L3223" s="189"/>
      <c r="M3223" s="138"/>
      <c r="N3223" s="138"/>
      <c r="O3223" s="138"/>
      <c r="S3223" s="72"/>
      <c r="T3223" s="72"/>
      <c r="U3223" s="72"/>
      <c r="V3223" s="72"/>
    </row>
    <row r="3224" spans="1:22" s="63" customFormat="1" ht="15.75" customHeight="1" x14ac:dyDescent="0.25">
      <c r="A3224" s="87">
        <v>28.31</v>
      </c>
      <c r="B3224" s="81" t="s">
        <v>96</v>
      </c>
      <c r="C3224" s="80">
        <v>14.3</v>
      </c>
      <c r="D3224" s="131" t="s">
        <v>2879</v>
      </c>
      <c r="E3224" s="83" t="s">
        <v>4064</v>
      </c>
      <c r="F3224" s="81" t="s">
        <v>219</v>
      </c>
      <c r="G3224" s="82">
        <v>26</v>
      </c>
      <c r="H3224" s="85"/>
      <c r="I3224" s="86">
        <v>11698.51</v>
      </c>
      <c r="J3224" s="185">
        <f t="shared" si="313"/>
        <v>512.29999999999995</v>
      </c>
      <c r="K3224" s="189">
        <f t="shared" si="314"/>
        <v>13319.8</v>
      </c>
      <c r="L3224" s="189"/>
      <c r="M3224" s="138"/>
      <c r="N3224" s="138"/>
      <c r="O3224" s="138"/>
      <c r="S3224" s="72"/>
      <c r="T3224" s="72"/>
      <c r="U3224" s="72"/>
      <c r="V3224" s="72"/>
    </row>
    <row r="3225" spans="1:22" s="63" customFormat="1" ht="15.75" customHeight="1" x14ac:dyDescent="0.25">
      <c r="A3225" s="87">
        <v>28.32</v>
      </c>
      <c r="B3225" s="81" t="s">
        <v>96</v>
      </c>
      <c r="C3225" s="80">
        <v>14.4</v>
      </c>
      <c r="D3225" s="131" t="s">
        <v>2880</v>
      </c>
      <c r="E3225" s="83" t="s">
        <v>4065</v>
      </c>
      <c r="F3225" s="81" t="s">
        <v>219</v>
      </c>
      <c r="G3225" s="82">
        <v>26</v>
      </c>
      <c r="H3225" s="85"/>
      <c r="I3225" s="86">
        <v>52385.78</v>
      </c>
      <c r="J3225" s="185">
        <f t="shared" si="313"/>
        <v>2294.09</v>
      </c>
      <c r="K3225" s="189">
        <f t="shared" si="314"/>
        <v>59646.34</v>
      </c>
      <c r="L3225" s="189"/>
      <c r="M3225" s="138"/>
      <c r="N3225" s="138"/>
      <c r="O3225" s="138"/>
      <c r="S3225" s="72"/>
      <c r="T3225" s="72"/>
      <c r="U3225" s="72"/>
      <c r="V3225" s="72"/>
    </row>
    <row r="3226" spans="1:22" s="63" customFormat="1" ht="15.75" customHeight="1" x14ac:dyDescent="0.25">
      <c r="A3226" s="87">
        <v>28.33</v>
      </c>
      <c r="B3226" s="81" t="s">
        <v>96</v>
      </c>
      <c r="C3226" s="80">
        <v>14.5</v>
      </c>
      <c r="D3226" s="131" t="s">
        <v>2881</v>
      </c>
      <c r="E3226" s="83" t="s">
        <v>4066</v>
      </c>
      <c r="F3226" s="81" t="s">
        <v>219</v>
      </c>
      <c r="G3226" s="82">
        <v>6</v>
      </c>
      <c r="H3226" s="85"/>
      <c r="I3226" s="86">
        <v>18189.169999999998</v>
      </c>
      <c r="J3226" s="185">
        <f t="shared" si="313"/>
        <v>3451.7</v>
      </c>
      <c r="K3226" s="189">
        <f t="shared" si="314"/>
        <v>20710.2</v>
      </c>
      <c r="L3226" s="189"/>
      <c r="M3226" s="138"/>
      <c r="N3226" s="138"/>
      <c r="O3226" s="138"/>
      <c r="S3226" s="72"/>
      <c r="T3226" s="72"/>
      <c r="U3226" s="72"/>
      <c r="V3226" s="72"/>
    </row>
    <row r="3227" spans="1:22" s="63" customFormat="1" ht="15.75" customHeight="1" x14ac:dyDescent="0.25">
      <c r="A3227" s="87">
        <v>28.34</v>
      </c>
      <c r="B3227" s="81" t="s">
        <v>96</v>
      </c>
      <c r="C3227" s="80">
        <v>14.6</v>
      </c>
      <c r="D3227" s="131" t="s">
        <v>2882</v>
      </c>
      <c r="E3227" s="83" t="s">
        <v>4067</v>
      </c>
      <c r="F3227" s="81" t="s">
        <v>219</v>
      </c>
      <c r="G3227" s="82">
        <v>2</v>
      </c>
      <c r="H3227" s="85"/>
      <c r="I3227" s="86">
        <v>9530.64</v>
      </c>
      <c r="J3227" s="185">
        <f t="shared" si="313"/>
        <v>5425.79</v>
      </c>
      <c r="K3227" s="189">
        <f t="shared" si="314"/>
        <v>10851.58</v>
      </c>
      <c r="L3227" s="189"/>
      <c r="M3227" s="138"/>
      <c r="N3227" s="138"/>
      <c r="O3227" s="138"/>
      <c r="S3227" s="72"/>
      <c r="T3227" s="72"/>
      <c r="U3227" s="72"/>
      <c r="V3227" s="72"/>
    </row>
    <row r="3228" spans="1:22" s="63" customFormat="1" ht="15.75" customHeight="1" x14ac:dyDescent="0.25">
      <c r="A3228" s="87">
        <v>28.35</v>
      </c>
      <c r="B3228" s="81" t="s">
        <v>96</v>
      </c>
      <c r="C3228" s="80">
        <v>14.7</v>
      </c>
      <c r="D3228" s="131" t="s">
        <v>2883</v>
      </c>
      <c r="E3228" s="83" t="s">
        <v>4069</v>
      </c>
      <c r="F3228" s="81" t="s">
        <v>219</v>
      </c>
      <c r="G3228" s="82">
        <v>4</v>
      </c>
      <c r="H3228" s="85"/>
      <c r="I3228" s="86">
        <v>21324.880000000001</v>
      </c>
      <c r="J3228" s="185">
        <f t="shared" si="313"/>
        <v>6070.13</v>
      </c>
      <c r="K3228" s="189">
        <f t="shared" si="314"/>
        <v>24280.52</v>
      </c>
      <c r="L3228" s="189"/>
      <c r="M3228" s="138"/>
      <c r="N3228" s="138"/>
      <c r="O3228" s="138"/>
      <c r="S3228" s="72"/>
      <c r="T3228" s="72"/>
      <c r="U3228" s="72"/>
      <c r="V3228" s="72"/>
    </row>
    <row r="3229" spans="1:22" s="63" customFormat="1" ht="15.75" customHeight="1" x14ac:dyDescent="0.25">
      <c r="A3229" s="87">
        <v>28.36</v>
      </c>
      <c r="B3229" s="81" t="s">
        <v>96</v>
      </c>
      <c r="C3229" s="80">
        <v>14.8</v>
      </c>
      <c r="D3229" s="131" t="s">
        <v>2884</v>
      </c>
      <c r="E3229" s="83" t="s">
        <v>4068</v>
      </c>
      <c r="F3229" s="81" t="s">
        <v>219</v>
      </c>
      <c r="G3229" s="82">
        <v>4</v>
      </c>
      <c r="H3229" s="85"/>
      <c r="I3229" s="86">
        <v>25303.03</v>
      </c>
      <c r="J3229" s="185">
        <f t="shared" si="313"/>
        <v>7202.51</v>
      </c>
      <c r="K3229" s="189">
        <f t="shared" si="314"/>
        <v>28810.04</v>
      </c>
      <c r="L3229" s="189"/>
      <c r="M3229" s="138"/>
      <c r="N3229" s="138"/>
      <c r="O3229" s="138"/>
      <c r="S3229" s="72"/>
      <c r="T3229" s="72"/>
      <c r="U3229" s="72"/>
      <c r="V3229" s="72"/>
    </row>
    <row r="3230" spans="1:22" s="63" customFormat="1" ht="22.5" x14ac:dyDescent="0.25">
      <c r="A3230" s="87">
        <v>28.37</v>
      </c>
      <c r="B3230" s="81" t="s">
        <v>96</v>
      </c>
      <c r="C3230" s="80">
        <v>14.9</v>
      </c>
      <c r="D3230" s="131" t="s">
        <v>2885</v>
      </c>
      <c r="E3230" s="83" t="s">
        <v>4070</v>
      </c>
      <c r="F3230" s="81" t="s">
        <v>219</v>
      </c>
      <c r="G3230" s="82">
        <v>2</v>
      </c>
      <c r="H3230" s="85"/>
      <c r="I3230" s="86">
        <v>3191.03</v>
      </c>
      <c r="J3230" s="185">
        <f t="shared" si="313"/>
        <v>1816.65</v>
      </c>
      <c r="K3230" s="189">
        <f t="shared" si="314"/>
        <v>3633.3</v>
      </c>
      <c r="L3230" s="189"/>
      <c r="M3230" s="138"/>
      <c r="N3230" s="138"/>
      <c r="O3230" s="138"/>
      <c r="S3230" s="72"/>
      <c r="T3230" s="72"/>
      <c r="U3230" s="72"/>
      <c r="V3230" s="72"/>
    </row>
    <row r="3231" spans="1:22" s="63" customFormat="1" ht="22.5" x14ac:dyDescent="0.25">
      <c r="A3231" s="87">
        <v>28.38</v>
      </c>
      <c r="B3231" s="81" t="s">
        <v>96</v>
      </c>
      <c r="C3231" s="82">
        <v>15</v>
      </c>
      <c r="D3231" s="131" t="s">
        <v>2886</v>
      </c>
      <c r="E3231" s="83" t="s">
        <v>2887</v>
      </c>
      <c r="F3231" s="81" t="s">
        <v>2350</v>
      </c>
      <c r="G3231" s="84">
        <v>4.0000000000000001E-3</v>
      </c>
      <c r="H3231" s="85"/>
      <c r="I3231" s="86">
        <v>3252.33</v>
      </c>
      <c r="J3231" s="185">
        <f t="shared" si="313"/>
        <v>925775.73</v>
      </c>
      <c r="K3231" s="189">
        <f t="shared" si="314"/>
        <v>3703.1</v>
      </c>
      <c r="L3231" s="189"/>
      <c r="M3231" s="138"/>
      <c r="N3231" s="138"/>
      <c r="O3231" s="138"/>
      <c r="S3231" s="72"/>
      <c r="T3231" s="72"/>
      <c r="U3231" s="72"/>
      <c r="V3231" s="72"/>
    </row>
    <row r="3232" spans="1:22" s="63" customFormat="1" ht="33.75" x14ac:dyDescent="0.25">
      <c r="A3232" s="87">
        <v>28.39</v>
      </c>
      <c r="B3232" s="81" t="s">
        <v>96</v>
      </c>
      <c r="C3232" s="80">
        <v>15.1</v>
      </c>
      <c r="D3232" s="131" t="s">
        <v>2888</v>
      </c>
      <c r="E3232" s="83" t="s">
        <v>2889</v>
      </c>
      <c r="F3232" s="81" t="s">
        <v>334</v>
      </c>
      <c r="G3232" s="82">
        <v>4</v>
      </c>
      <c r="H3232" s="85"/>
      <c r="I3232" s="86">
        <v>1931.93</v>
      </c>
      <c r="J3232" s="185">
        <f t="shared" si="313"/>
        <v>549.91999999999996</v>
      </c>
      <c r="K3232" s="189">
        <f t="shared" si="314"/>
        <v>2199.6799999999998</v>
      </c>
      <c r="L3232" s="189"/>
      <c r="M3232" s="138"/>
      <c r="N3232" s="138"/>
      <c r="O3232" s="138"/>
      <c r="S3232" s="72"/>
      <c r="T3232" s="72"/>
      <c r="U3232" s="72"/>
      <c r="V3232" s="72"/>
    </row>
    <row r="3233" spans="1:22" s="63" customFormat="1" ht="22.5" x14ac:dyDescent="0.25">
      <c r="A3233" s="87">
        <v>28.4</v>
      </c>
      <c r="B3233" s="81" t="s">
        <v>96</v>
      </c>
      <c r="C3233" s="80">
        <v>15.2</v>
      </c>
      <c r="D3233" s="131" t="s">
        <v>2890</v>
      </c>
      <c r="E3233" s="83" t="s">
        <v>2891</v>
      </c>
      <c r="F3233" s="81" t="s">
        <v>219</v>
      </c>
      <c r="G3233" s="82">
        <v>2</v>
      </c>
      <c r="H3233" s="85"/>
      <c r="I3233" s="86">
        <v>463.54</v>
      </c>
      <c r="J3233" s="185">
        <f t="shared" si="313"/>
        <v>263.89</v>
      </c>
      <c r="K3233" s="189">
        <f t="shared" si="314"/>
        <v>527.78</v>
      </c>
      <c r="L3233" s="189"/>
      <c r="M3233" s="138"/>
      <c r="N3233" s="138"/>
      <c r="O3233" s="138"/>
      <c r="S3233" s="72"/>
      <c r="T3233" s="72"/>
      <c r="U3233" s="72"/>
      <c r="V3233" s="72"/>
    </row>
    <row r="3234" spans="1:22" s="63" customFormat="1" ht="22.5" x14ac:dyDescent="0.25">
      <c r="A3234" s="87">
        <v>28.41</v>
      </c>
      <c r="B3234" s="81" t="s">
        <v>96</v>
      </c>
      <c r="C3234" s="82">
        <v>16</v>
      </c>
      <c r="D3234" s="131" t="s">
        <v>2892</v>
      </c>
      <c r="E3234" s="83" t="s">
        <v>2893</v>
      </c>
      <c r="F3234" s="81" t="s">
        <v>205</v>
      </c>
      <c r="G3234" s="87">
        <v>0.72</v>
      </c>
      <c r="H3234" s="85"/>
      <c r="I3234" s="86">
        <v>19499.12</v>
      </c>
      <c r="J3234" s="185">
        <f t="shared" si="313"/>
        <v>30835.69</v>
      </c>
      <c r="K3234" s="189">
        <f t="shared" si="314"/>
        <v>22201.7</v>
      </c>
      <c r="L3234" s="189"/>
      <c r="M3234" s="138"/>
      <c r="N3234" s="138"/>
      <c r="O3234" s="138"/>
      <c r="S3234" s="72"/>
      <c r="T3234" s="72"/>
      <c r="U3234" s="72"/>
      <c r="V3234" s="72"/>
    </row>
    <row r="3235" spans="1:22" s="63" customFormat="1" ht="15" x14ac:dyDescent="0.25">
      <c r="A3235" s="87">
        <v>28.42</v>
      </c>
      <c r="B3235" s="81" t="s">
        <v>96</v>
      </c>
      <c r="C3235" s="80">
        <v>16.100000000000001</v>
      </c>
      <c r="D3235" s="131" t="s">
        <v>2894</v>
      </c>
      <c r="E3235" s="83" t="s">
        <v>4071</v>
      </c>
      <c r="F3235" s="81" t="s">
        <v>334</v>
      </c>
      <c r="G3235" s="82">
        <v>4</v>
      </c>
      <c r="H3235" s="85"/>
      <c r="I3235" s="86">
        <v>1701.85</v>
      </c>
      <c r="J3235" s="185">
        <f t="shared" si="313"/>
        <v>484.43</v>
      </c>
      <c r="K3235" s="189">
        <f t="shared" si="314"/>
        <v>1937.72</v>
      </c>
      <c r="L3235" s="189"/>
      <c r="M3235" s="138"/>
      <c r="N3235" s="138"/>
      <c r="O3235" s="138"/>
      <c r="S3235" s="72"/>
      <c r="T3235" s="72"/>
      <c r="U3235" s="72"/>
      <c r="V3235" s="72"/>
    </row>
    <row r="3236" spans="1:22" s="63" customFormat="1" ht="22.5" x14ac:dyDescent="0.25">
      <c r="A3236" s="87">
        <v>28.43</v>
      </c>
      <c r="B3236" s="81" t="s">
        <v>96</v>
      </c>
      <c r="C3236" s="82">
        <v>17</v>
      </c>
      <c r="D3236" s="131" t="s">
        <v>2895</v>
      </c>
      <c r="E3236" s="83" t="s">
        <v>2896</v>
      </c>
      <c r="F3236" s="81" t="s">
        <v>2350</v>
      </c>
      <c r="G3236" s="84">
        <v>2E-3</v>
      </c>
      <c r="H3236" s="85"/>
      <c r="I3236" s="86">
        <v>2067.19</v>
      </c>
      <c r="J3236" s="185">
        <f t="shared" si="313"/>
        <v>1176851.27</v>
      </c>
      <c r="K3236" s="189">
        <f t="shared" si="314"/>
        <v>2353.6999999999998</v>
      </c>
      <c r="L3236" s="189"/>
      <c r="M3236" s="138"/>
      <c r="N3236" s="138"/>
      <c r="O3236" s="138"/>
      <c r="S3236" s="72"/>
      <c r="T3236" s="72"/>
      <c r="U3236" s="72"/>
      <c r="V3236" s="72"/>
    </row>
    <row r="3237" spans="1:22" s="63" customFormat="1" ht="22.5" x14ac:dyDescent="0.25">
      <c r="A3237" s="87">
        <v>28.44</v>
      </c>
      <c r="B3237" s="81" t="s">
        <v>96</v>
      </c>
      <c r="C3237" s="80">
        <v>17.100000000000001</v>
      </c>
      <c r="D3237" s="131" t="s">
        <v>2897</v>
      </c>
      <c r="E3237" s="83" t="s">
        <v>4072</v>
      </c>
      <c r="F3237" s="81" t="s">
        <v>219</v>
      </c>
      <c r="G3237" s="82">
        <v>4</v>
      </c>
      <c r="H3237" s="85"/>
      <c r="I3237" s="86">
        <v>15976.63</v>
      </c>
      <c r="J3237" s="185">
        <f t="shared" si="313"/>
        <v>4547.75</v>
      </c>
      <c r="K3237" s="189">
        <f t="shared" si="314"/>
        <v>18191</v>
      </c>
      <c r="L3237" s="189"/>
      <c r="M3237" s="138"/>
      <c r="N3237" s="138"/>
      <c r="O3237" s="138"/>
      <c r="S3237" s="72"/>
      <c r="T3237" s="72"/>
      <c r="U3237" s="72"/>
      <c r="V3237" s="72"/>
    </row>
    <row r="3238" spans="1:22" s="63" customFormat="1" ht="15" x14ac:dyDescent="0.25">
      <c r="A3238" s="87">
        <v>28.45</v>
      </c>
      <c r="B3238" s="81" t="s">
        <v>96</v>
      </c>
      <c r="C3238" s="82">
        <v>18</v>
      </c>
      <c r="D3238" s="131" t="s">
        <v>2898</v>
      </c>
      <c r="E3238" s="83" t="s">
        <v>2899</v>
      </c>
      <c r="F3238" s="81" t="s">
        <v>2900</v>
      </c>
      <c r="G3238" s="82">
        <v>4</v>
      </c>
      <c r="H3238" s="85"/>
      <c r="I3238" s="86">
        <v>20633.009999999998</v>
      </c>
      <c r="J3238" s="185">
        <f t="shared" si="313"/>
        <v>5873.19</v>
      </c>
      <c r="K3238" s="189">
        <f t="shared" si="314"/>
        <v>23492.76</v>
      </c>
      <c r="L3238" s="189"/>
      <c r="M3238" s="138"/>
      <c r="N3238" s="138"/>
      <c r="O3238" s="138"/>
      <c r="S3238" s="72"/>
      <c r="T3238" s="72"/>
      <c r="U3238" s="72"/>
      <c r="V3238" s="72"/>
    </row>
    <row r="3239" spans="1:22" s="128" customFormat="1" ht="12.75" x14ac:dyDescent="0.25">
      <c r="A3239" s="237"/>
      <c r="B3239" s="125"/>
      <c r="C3239" s="76"/>
      <c r="D3239" s="77"/>
      <c r="E3239" s="126" t="s">
        <v>3406</v>
      </c>
      <c r="F3239" s="125"/>
      <c r="G3239" s="76"/>
      <c r="H3239" s="127"/>
      <c r="I3239" s="78"/>
      <c r="J3239" s="238"/>
      <c r="K3239" s="239"/>
      <c r="L3239" s="239"/>
      <c r="M3239" s="79"/>
      <c r="N3239" s="79"/>
      <c r="O3239" s="79"/>
      <c r="S3239" s="129"/>
      <c r="T3239" s="129"/>
      <c r="U3239" s="129"/>
      <c r="V3239" s="129"/>
    </row>
    <row r="3240" spans="1:22" s="63" customFormat="1" ht="15" x14ac:dyDescent="0.25">
      <c r="A3240" s="87">
        <v>28.46</v>
      </c>
      <c r="B3240" s="81" t="s">
        <v>96</v>
      </c>
      <c r="C3240" s="82">
        <v>19</v>
      </c>
      <c r="D3240" s="131" t="s">
        <v>2047</v>
      </c>
      <c r="E3240" s="83" t="s">
        <v>2048</v>
      </c>
      <c r="F3240" s="81" t="s">
        <v>219</v>
      </c>
      <c r="G3240" s="82">
        <v>2</v>
      </c>
      <c r="H3240" s="85"/>
      <c r="I3240" s="86">
        <v>3064.59</v>
      </c>
      <c r="J3240" s="185">
        <f t="shared" ref="J3240:J3257" si="315">ROUND($I3240/$G3240*$N$11,2)</f>
        <v>1744.67</v>
      </c>
      <c r="K3240" s="189">
        <f t="shared" ref="K3240:K3257" si="316">ROUND(G3240*J3240,2)</f>
        <v>3489.34</v>
      </c>
      <c r="L3240" s="189"/>
      <c r="M3240" s="138"/>
      <c r="N3240" s="138"/>
      <c r="O3240" s="138"/>
      <c r="S3240" s="72"/>
      <c r="T3240" s="72"/>
      <c r="U3240" s="72"/>
      <c r="V3240" s="72"/>
    </row>
    <row r="3241" spans="1:22" s="63" customFormat="1" ht="33.75" x14ac:dyDescent="0.25">
      <c r="A3241" s="87">
        <v>28.47</v>
      </c>
      <c r="B3241" s="81" t="s">
        <v>96</v>
      </c>
      <c r="C3241" s="80">
        <v>19.100000000000001</v>
      </c>
      <c r="D3241" s="131" t="s">
        <v>2901</v>
      </c>
      <c r="E3241" s="83" t="s">
        <v>4073</v>
      </c>
      <c r="F3241" s="81" t="s">
        <v>219</v>
      </c>
      <c r="G3241" s="82">
        <v>2</v>
      </c>
      <c r="H3241" s="85"/>
      <c r="I3241" s="86">
        <v>21190.79</v>
      </c>
      <c r="J3241" s="185">
        <f t="shared" si="315"/>
        <v>12063.92</v>
      </c>
      <c r="K3241" s="189">
        <f t="shared" si="316"/>
        <v>24127.84</v>
      </c>
      <c r="L3241" s="189"/>
      <c r="M3241" s="138"/>
      <c r="N3241" s="138"/>
      <c r="O3241" s="138"/>
      <c r="S3241" s="72"/>
      <c r="T3241" s="72"/>
      <c r="U3241" s="72"/>
      <c r="V3241" s="72"/>
    </row>
    <row r="3242" spans="1:22" s="63" customFormat="1" ht="15" x14ac:dyDescent="0.25">
      <c r="A3242" s="87">
        <v>28.48</v>
      </c>
      <c r="B3242" s="81" t="s">
        <v>96</v>
      </c>
      <c r="C3242" s="82">
        <v>20</v>
      </c>
      <c r="D3242" s="131" t="s">
        <v>2629</v>
      </c>
      <c r="E3242" s="83" t="s">
        <v>2630</v>
      </c>
      <c r="F3242" s="81" t="s">
        <v>319</v>
      </c>
      <c r="G3242" s="84">
        <v>0.20499999999999999</v>
      </c>
      <c r="H3242" s="85"/>
      <c r="I3242" s="86">
        <v>47597.66</v>
      </c>
      <c r="J3242" s="185">
        <f t="shared" si="315"/>
        <v>264364.37</v>
      </c>
      <c r="K3242" s="189">
        <f t="shared" si="316"/>
        <v>54194.7</v>
      </c>
      <c r="L3242" s="189"/>
      <c r="M3242" s="138"/>
      <c r="N3242" s="138"/>
      <c r="O3242" s="138"/>
      <c r="S3242" s="72"/>
      <c r="T3242" s="72"/>
      <c r="U3242" s="72"/>
      <c r="V3242" s="72"/>
    </row>
    <row r="3243" spans="1:22" s="63" customFormat="1" ht="22.5" x14ac:dyDescent="0.25">
      <c r="A3243" s="87">
        <v>28.49</v>
      </c>
      <c r="B3243" s="81" t="s">
        <v>96</v>
      </c>
      <c r="C3243" s="80">
        <v>20.100000000000001</v>
      </c>
      <c r="D3243" s="131" t="s">
        <v>2298</v>
      </c>
      <c r="E3243" s="83" t="s">
        <v>2299</v>
      </c>
      <c r="F3243" s="81" t="s">
        <v>205</v>
      </c>
      <c r="G3243" s="87">
        <v>0.49</v>
      </c>
      <c r="H3243" s="85"/>
      <c r="I3243" s="86">
        <v>2692.95</v>
      </c>
      <c r="J3243" s="185">
        <f t="shared" si="315"/>
        <v>6257.54</v>
      </c>
      <c r="K3243" s="189">
        <f t="shared" si="316"/>
        <v>3066.19</v>
      </c>
      <c r="L3243" s="189"/>
      <c r="M3243" s="138"/>
      <c r="N3243" s="138"/>
      <c r="O3243" s="138"/>
      <c r="S3243" s="72"/>
      <c r="T3243" s="72"/>
      <c r="U3243" s="72"/>
      <c r="V3243" s="72"/>
    </row>
    <row r="3244" spans="1:22" s="63" customFormat="1" ht="22.5" x14ac:dyDescent="0.25">
      <c r="A3244" s="87">
        <v>28.5</v>
      </c>
      <c r="B3244" s="81" t="s">
        <v>96</v>
      </c>
      <c r="C3244" s="80">
        <v>20.2</v>
      </c>
      <c r="D3244" s="131" t="s">
        <v>2592</v>
      </c>
      <c r="E3244" s="83" t="s">
        <v>2593</v>
      </c>
      <c r="F3244" s="81" t="s">
        <v>205</v>
      </c>
      <c r="G3244" s="87">
        <v>-0.42</v>
      </c>
      <c r="H3244" s="85"/>
      <c r="I3244" s="86">
        <v>-4226.17</v>
      </c>
      <c r="J3244" s="185">
        <f t="shared" si="315"/>
        <v>11456.95</v>
      </c>
      <c r="K3244" s="189">
        <f t="shared" si="316"/>
        <v>-4811.92</v>
      </c>
      <c r="L3244" s="189"/>
      <c r="M3244" s="138"/>
      <c r="N3244" s="138"/>
      <c r="O3244" s="138"/>
      <c r="S3244" s="72"/>
      <c r="T3244" s="72"/>
      <c r="U3244" s="72"/>
      <c r="V3244" s="72"/>
    </row>
    <row r="3245" spans="1:22" s="63" customFormat="1" ht="22.5" x14ac:dyDescent="0.25">
      <c r="A3245" s="87">
        <v>28.51</v>
      </c>
      <c r="B3245" s="81" t="s">
        <v>96</v>
      </c>
      <c r="C3245" s="80">
        <v>20.3</v>
      </c>
      <c r="D3245" s="131" t="s">
        <v>2594</v>
      </c>
      <c r="E3245" s="83" t="s">
        <v>2595</v>
      </c>
      <c r="F3245" s="81" t="s">
        <v>205</v>
      </c>
      <c r="G3245" s="87">
        <v>0.02</v>
      </c>
      <c r="H3245" s="85"/>
      <c r="I3245" s="86">
        <v>86.4</v>
      </c>
      <c r="J3245" s="185">
        <f t="shared" si="315"/>
        <v>4918.75</v>
      </c>
      <c r="K3245" s="189">
        <f t="shared" si="316"/>
        <v>98.38</v>
      </c>
      <c r="L3245" s="189"/>
      <c r="M3245" s="138"/>
      <c r="N3245" s="138"/>
      <c r="O3245" s="138"/>
      <c r="S3245" s="72"/>
      <c r="T3245" s="72"/>
      <c r="U3245" s="72"/>
      <c r="V3245" s="72"/>
    </row>
    <row r="3246" spans="1:22" s="63" customFormat="1" ht="22.5" x14ac:dyDescent="0.25">
      <c r="A3246" s="87">
        <v>28.52</v>
      </c>
      <c r="B3246" s="81" t="s">
        <v>96</v>
      </c>
      <c r="C3246" s="80">
        <v>20.399999999999999</v>
      </c>
      <c r="D3246" s="131" t="s">
        <v>2849</v>
      </c>
      <c r="E3246" s="83" t="s">
        <v>2850</v>
      </c>
      <c r="F3246" s="81" t="s">
        <v>205</v>
      </c>
      <c r="G3246" s="80">
        <v>0.3</v>
      </c>
      <c r="H3246" s="85"/>
      <c r="I3246" s="86">
        <v>101.23</v>
      </c>
      <c r="J3246" s="185">
        <f t="shared" si="315"/>
        <v>384.2</v>
      </c>
      <c r="K3246" s="189">
        <f t="shared" si="316"/>
        <v>115.26</v>
      </c>
      <c r="L3246" s="189"/>
      <c r="M3246" s="138"/>
      <c r="N3246" s="138"/>
      <c r="O3246" s="138"/>
      <c r="S3246" s="72"/>
      <c r="T3246" s="72"/>
      <c r="U3246" s="72"/>
      <c r="V3246" s="72"/>
    </row>
    <row r="3247" spans="1:22" s="63" customFormat="1" ht="22.5" x14ac:dyDescent="0.25">
      <c r="A3247" s="87">
        <v>28.53</v>
      </c>
      <c r="B3247" s="81" t="s">
        <v>96</v>
      </c>
      <c r="C3247" s="80">
        <v>20.5</v>
      </c>
      <c r="D3247" s="131" t="s">
        <v>2902</v>
      </c>
      <c r="E3247" s="83" t="s">
        <v>2903</v>
      </c>
      <c r="F3247" s="81" t="s">
        <v>219</v>
      </c>
      <c r="G3247" s="82">
        <v>1</v>
      </c>
      <c r="H3247" s="85"/>
      <c r="I3247" s="86">
        <v>4109.93</v>
      </c>
      <c r="J3247" s="185">
        <f t="shared" si="315"/>
        <v>4679.57</v>
      </c>
      <c r="K3247" s="189">
        <f t="shared" si="316"/>
        <v>4679.57</v>
      </c>
      <c r="L3247" s="189"/>
      <c r="M3247" s="138"/>
      <c r="N3247" s="138"/>
      <c r="O3247" s="138"/>
      <c r="S3247" s="72"/>
      <c r="T3247" s="72"/>
      <c r="U3247" s="72"/>
      <c r="V3247" s="72"/>
    </row>
    <row r="3248" spans="1:22" s="63" customFormat="1" ht="22.5" x14ac:dyDescent="0.25">
      <c r="A3248" s="87">
        <v>28.54</v>
      </c>
      <c r="B3248" s="81" t="s">
        <v>96</v>
      </c>
      <c r="C3248" s="80">
        <v>20.6</v>
      </c>
      <c r="D3248" s="131" t="s">
        <v>2904</v>
      </c>
      <c r="E3248" s="83" t="s">
        <v>2905</v>
      </c>
      <c r="F3248" s="81" t="s">
        <v>219</v>
      </c>
      <c r="G3248" s="82">
        <v>2</v>
      </c>
      <c r="H3248" s="85"/>
      <c r="I3248" s="86">
        <v>11504.4</v>
      </c>
      <c r="J3248" s="185">
        <f t="shared" si="315"/>
        <v>6549.45</v>
      </c>
      <c r="K3248" s="189">
        <f t="shared" si="316"/>
        <v>13098.9</v>
      </c>
      <c r="L3248" s="189"/>
      <c r="M3248" s="138"/>
      <c r="N3248" s="138"/>
      <c r="O3248" s="138"/>
      <c r="S3248" s="72"/>
      <c r="T3248" s="72"/>
      <c r="U3248" s="72"/>
      <c r="V3248" s="72"/>
    </row>
    <row r="3249" spans="1:22" s="63" customFormat="1" ht="22.5" x14ac:dyDescent="0.25">
      <c r="A3249" s="87">
        <v>28.55</v>
      </c>
      <c r="B3249" s="81" t="s">
        <v>96</v>
      </c>
      <c r="C3249" s="80">
        <v>20.7</v>
      </c>
      <c r="D3249" s="131" t="s">
        <v>2906</v>
      </c>
      <c r="E3249" s="83" t="s">
        <v>2907</v>
      </c>
      <c r="F3249" s="81" t="s">
        <v>219</v>
      </c>
      <c r="G3249" s="82">
        <v>2</v>
      </c>
      <c r="H3249" s="85"/>
      <c r="I3249" s="86">
        <v>7636.09</v>
      </c>
      <c r="J3249" s="185">
        <f t="shared" si="315"/>
        <v>4347.2299999999996</v>
      </c>
      <c r="K3249" s="189">
        <f t="shared" si="316"/>
        <v>8694.4599999999991</v>
      </c>
      <c r="L3249" s="189"/>
      <c r="M3249" s="138"/>
      <c r="N3249" s="138"/>
      <c r="O3249" s="138"/>
      <c r="S3249" s="72"/>
      <c r="T3249" s="72"/>
      <c r="U3249" s="72"/>
      <c r="V3249" s="72"/>
    </row>
    <row r="3250" spans="1:22" s="63" customFormat="1" ht="22.5" x14ac:dyDescent="0.25">
      <c r="A3250" s="87">
        <v>28.56</v>
      </c>
      <c r="B3250" s="81" t="s">
        <v>96</v>
      </c>
      <c r="C3250" s="80">
        <v>20.8</v>
      </c>
      <c r="D3250" s="131" t="s">
        <v>2908</v>
      </c>
      <c r="E3250" s="83" t="s">
        <v>2909</v>
      </c>
      <c r="F3250" s="81" t="s">
        <v>219</v>
      </c>
      <c r="G3250" s="82">
        <v>1</v>
      </c>
      <c r="H3250" s="85"/>
      <c r="I3250" s="86">
        <v>3309.13</v>
      </c>
      <c r="J3250" s="185">
        <f t="shared" si="315"/>
        <v>3767.78</v>
      </c>
      <c r="K3250" s="189">
        <f t="shared" si="316"/>
        <v>3767.78</v>
      </c>
      <c r="L3250" s="189"/>
      <c r="M3250" s="138"/>
      <c r="N3250" s="138"/>
      <c r="O3250" s="138"/>
      <c r="S3250" s="72"/>
      <c r="T3250" s="72"/>
      <c r="U3250" s="72"/>
      <c r="V3250" s="72"/>
    </row>
    <row r="3251" spans="1:22" s="63" customFormat="1" ht="22.5" x14ac:dyDescent="0.25">
      <c r="A3251" s="87">
        <v>28.57</v>
      </c>
      <c r="B3251" s="81" t="s">
        <v>96</v>
      </c>
      <c r="C3251" s="80">
        <v>20.9</v>
      </c>
      <c r="D3251" s="131" t="s">
        <v>2910</v>
      </c>
      <c r="E3251" s="83" t="s">
        <v>2911</v>
      </c>
      <c r="F3251" s="81" t="s">
        <v>219</v>
      </c>
      <c r="G3251" s="82">
        <v>1</v>
      </c>
      <c r="H3251" s="85"/>
      <c r="I3251" s="86">
        <v>697.61</v>
      </c>
      <c r="J3251" s="185">
        <f t="shared" si="315"/>
        <v>794.3</v>
      </c>
      <c r="K3251" s="189">
        <f t="shared" si="316"/>
        <v>794.3</v>
      </c>
      <c r="L3251" s="189"/>
      <c r="M3251" s="138"/>
      <c r="N3251" s="138"/>
      <c r="O3251" s="138"/>
      <c r="S3251" s="72"/>
      <c r="T3251" s="72"/>
      <c r="U3251" s="72"/>
      <c r="V3251" s="72"/>
    </row>
    <row r="3252" spans="1:22" s="63" customFormat="1" ht="22.5" x14ac:dyDescent="0.25">
      <c r="A3252" s="87">
        <v>28.58</v>
      </c>
      <c r="B3252" s="81" t="s">
        <v>96</v>
      </c>
      <c r="C3252" s="87">
        <v>20.100000000000001</v>
      </c>
      <c r="D3252" s="131" t="s">
        <v>2609</v>
      </c>
      <c r="E3252" s="83" t="s">
        <v>2610</v>
      </c>
      <c r="F3252" s="81" t="s">
        <v>219</v>
      </c>
      <c r="G3252" s="82">
        <v>1</v>
      </c>
      <c r="H3252" s="85"/>
      <c r="I3252" s="86">
        <v>569.55999999999995</v>
      </c>
      <c r="J3252" s="185">
        <f t="shared" si="315"/>
        <v>648.5</v>
      </c>
      <c r="K3252" s="189">
        <f t="shared" si="316"/>
        <v>648.5</v>
      </c>
      <c r="L3252" s="189"/>
      <c r="M3252" s="138"/>
      <c r="N3252" s="138"/>
      <c r="O3252" s="138"/>
      <c r="S3252" s="72"/>
      <c r="T3252" s="72"/>
      <c r="U3252" s="72"/>
      <c r="V3252" s="72"/>
    </row>
    <row r="3253" spans="1:22" s="63" customFormat="1" ht="22.5" x14ac:dyDescent="0.25">
      <c r="A3253" s="87">
        <v>28.59</v>
      </c>
      <c r="B3253" s="81" t="s">
        <v>96</v>
      </c>
      <c r="C3253" s="87">
        <v>20.11</v>
      </c>
      <c r="D3253" s="131" t="s">
        <v>371</v>
      </c>
      <c r="E3253" s="83" t="s">
        <v>372</v>
      </c>
      <c r="F3253" s="81" t="s">
        <v>226</v>
      </c>
      <c r="G3253" s="89">
        <v>4.3610000000000003E-2</v>
      </c>
      <c r="H3253" s="85"/>
      <c r="I3253" s="86">
        <v>4674.79</v>
      </c>
      <c r="J3253" s="185">
        <f t="shared" si="315"/>
        <v>122052.65</v>
      </c>
      <c r="K3253" s="189">
        <f t="shared" si="316"/>
        <v>5322.72</v>
      </c>
      <c r="L3253" s="189"/>
      <c r="M3253" s="138"/>
      <c r="N3253" s="138"/>
      <c r="O3253" s="138"/>
      <c r="S3253" s="72"/>
      <c r="T3253" s="72"/>
      <c r="U3253" s="72"/>
      <c r="V3253" s="72"/>
    </row>
    <row r="3254" spans="1:22" s="63" customFormat="1" ht="22.5" x14ac:dyDescent="0.25">
      <c r="A3254" s="87">
        <v>28.6</v>
      </c>
      <c r="B3254" s="81" t="s">
        <v>96</v>
      </c>
      <c r="C3254" s="87">
        <v>20.12</v>
      </c>
      <c r="D3254" s="131" t="s">
        <v>2912</v>
      </c>
      <c r="E3254" s="83" t="s">
        <v>2913</v>
      </c>
      <c r="F3254" s="81" t="s">
        <v>219</v>
      </c>
      <c r="G3254" s="82">
        <v>22</v>
      </c>
      <c r="H3254" s="85"/>
      <c r="I3254" s="86">
        <v>1232.72</v>
      </c>
      <c r="J3254" s="185">
        <f t="shared" si="315"/>
        <v>63.8</v>
      </c>
      <c r="K3254" s="189">
        <f t="shared" si="316"/>
        <v>1403.6</v>
      </c>
      <c r="L3254" s="189"/>
      <c r="M3254" s="138"/>
      <c r="N3254" s="138"/>
      <c r="O3254" s="138"/>
      <c r="S3254" s="72"/>
      <c r="T3254" s="72"/>
      <c r="U3254" s="72"/>
      <c r="V3254" s="72"/>
    </row>
    <row r="3255" spans="1:22" s="63" customFormat="1" ht="22.5" x14ac:dyDescent="0.25">
      <c r="A3255" s="87">
        <v>28.61</v>
      </c>
      <c r="B3255" s="81" t="s">
        <v>96</v>
      </c>
      <c r="C3255" s="87">
        <v>20.13</v>
      </c>
      <c r="D3255" s="131" t="s">
        <v>2914</v>
      </c>
      <c r="E3255" s="83" t="s">
        <v>2915</v>
      </c>
      <c r="F3255" s="81" t="s">
        <v>219</v>
      </c>
      <c r="G3255" s="82">
        <v>1</v>
      </c>
      <c r="H3255" s="85"/>
      <c r="I3255" s="86">
        <v>5292.84</v>
      </c>
      <c r="J3255" s="185">
        <f t="shared" si="315"/>
        <v>6026.43</v>
      </c>
      <c r="K3255" s="189">
        <f t="shared" si="316"/>
        <v>6026.43</v>
      </c>
      <c r="L3255" s="189"/>
      <c r="M3255" s="138"/>
      <c r="N3255" s="138"/>
      <c r="O3255" s="138"/>
      <c r="S3255" s="72"/>
      <c r="T3255" s="72"/>
      <c r="U3255" s="72"/>
      <c r="V3255" s="72"/>
    </row>
    <row r="3256" spans="1:22" s="63" customFormat="1" ht="22.5" x14ac:dyDescent="0.25">
      <c r="A3256" s="87">
        <v>28.62</v>
      </c>
      <c r="B3256" s="81" t="s">
        <v>96</v>
      </c>
      <c r="C3256" s="82">
        <v>21</v>
      </c>
      <c r="D3256" s="131" t="s">
        <v>2862</v>
      </c>
      <c r="E3256" s="83" t="s">
        <v>2863</v>
      </c>
      <c r="F3256" s="81" t="s">
        <v>207</v>
      </c>
      <c r="G3256" s="87">
        <v>0.27</v>
      </c>
      <c r="H3256" s="85"/>
      <c r="I3256" s="86">
        <v>19007.3</v>
      </c>
      <c r="J3256" s="185">
        <f t="shared" si="315"/>
        <v>80154.490000000005</v>
      </c>
      <c r="K3256" s="189">
        <f t="shared" si="316"/>
        <v>21641.71</v>
      </c>
      <c r="L3256" s="189"/>
      <c r="M3256" s="138"/>
      <c r="N3256" s="138"/>
      <c r="O3256" s="138"/>
      <c r="S3256" s="72"/>
      <c r="T3256" s="72"/>
      <c r="U3256" s="72"/>
      <c r="V3256" s="72"/>
    </row>
    <row r="3257" spans="1:22" s="63" customFormat="1" ht="22.5" x14ac:dyDescent="0.25">
      <c r="A3257" s="87">
        <v>28.63</v>
      </c>
      <c r="B3257" s="81" t="s">
        <v>96</v>
      </c>
      <c r="C3257" s="80">
        <v>21.1</v>
      </c>
      <c r="D3257" s="131" t="s">
        <v>2916</v>
      </c>
      <c r="E3257" s="83" t="s">
        <v>2917</v>
      </c>
      <c r="F3257" s="81" t="s">
        <v>370</v>
      </c>
      <c r="G3257" s="80">
        <v>62.1</v>
      </c>
      <c r="H3257" s="85"/>
      <c r="I3257" s="86">
        <v>13753.08</v>
      </c>
      <c r="J3257" s="185">
        <f t="shared" si="315"/>
        <v>252.16</v>
      </c>
      <c r="K3257" s="189">
        <f t="shared" si="316"/>
        <v>15659.14</v>
      </c>
      <c r="L3257" s="189"/>
      <c r="M3257" s="138"/>
      <c r="N3257" s="138"/>
      <c r="O3257" s="138"/>
      <c r="S3257" s="72"/>
      <c r="T3257" s="72"/>
      <c r="U3257" s="72"/>
      <c r="V3257" s="72"/>
    </row>
    <row r="3258" spans="1:22" s="128" customFormat="1" ht="12.75" x14ac:dyDescent="0.25">
      <c r="A3258" s="237"/>
      <c r="B3258" s="125"/>
      <c r="C3258" s="236"/>
      <c r="D3258" s="77"/>
      <c r="E3258" s="126" t="s">
        <v>3407</v>
      </c>
      <c r="F3258" s="125"/>
      <c r="G3258" s="236"/>
      <c r="H3258" s="127"/>
      <c r="I3258" s="78"/>
      <c r="J3258" s="238"/>
      <c r="K3258" s="239"/>
      <c r="L3258" s="239"/>
      <c r="M3258" s="79"/>
      <c r="N3258" s="79"/>
      <c r="O3258" s="79"/>
      <c r="S3258" s="129"/>
      <c r="T3258" s="129"/>
      <c r="U3258" s="129"/>
      <c r="V3258" s="129"/>
    </row>
    <row r="3259" spans="1:22" s="63" customFormat="1" ht="22.5" x14ac:dyDescent="0.25">
      <c r="A3259" s="87">
        <v>28.64</v>
      </c>
      <c r="B3259" s="81" t="s">
        <v>96</v>
      </c>
      <c r="C3259" s="82">
        <v>22</v>
      </c>
      <c r="D3259" s="131" t="s">
        <v>2590</v>
      </c>
      <c r="E3259" s="83" t="s">
        <v>2591</v>
      </c>
      <c r="F3259" s="81" t="s">
        <v>319</v>
      </c>
      <c r="G3259" s="84">
        <v>0.11600000000000001</v>
      </c>
      <c r="H3259" s="85"/>
      <c r="I3259" s="86">
        <v>30444.51</v>
      </c>
      <c r="J3259" s="185">
        <f t="shared" ref="J3259:J3272" si="317">ROUND($I3259/$G3259*$N$11,2)</f>
        <v>298828.61</v>
      </c>
      <c r="K3259" s="189">
        <f t="shared" ref="K3259:K3272" si="318">ROUND(G3259*J3259,2)</f>
        <v>34664.120000000003</v>
      </c>
      <c r="L3259" s="189"/>
      <c r="M3259" s="138"/>
      <c r="N3259" s="138"/>
      <c r="O3259" s="138"/>
      <c r="S3259" s="72"/>
      <c r="T3259" s="72"/>
      <c r="U3259" s="72"/>
      <c r="V3259" s="72"/>
    </row>
    <row r="3260" spans="1:22" s="63" customFormat="1" ht="22.5" x14ac:dyDescent="0.25">
      <c r="A3260" s="87">
        <v>28.65</v>
      </c>
      <c r="B3260" s="81" t="s">
        <v>96</v>
      </c>
      <c r="C3260" s="80">
        <v>22.1</v>
      </c>
      <c r="D3260" s="131" t="s">
        <v>2298</v>
      </c>
      <c r="E3260" s="83" t="s">
        <v>2299</v>
      </c>
      <c r="F3260" s="81" t="s">
        <v>205</v>
      </c>
      <c r="G3260" s="87">
        <v>0.49</v>
      </c>
      <c r="H3260" s="85"/>
      <c r="I3260" s="86">
        <v>2692.95</v>
      </c>
      <c r="J3260" s="185">
        <f t="shared" si="317"/>
        <v>6257.54</v>
      </c>
      <c r="K3260" s="189">
        <f t="shared" si="318"/>
        <v>3066.19</v>
      </c>
      <c r="L3260" s="189"/>
      <c r="M3260" s="138"/>
      <c r="N3260" s="138"/>
      <c r="O3260" s="138"/>
      <c r="S3260" s="72"/>
      <c r="T3260" s="72"/>
      <c r="U3260" s="72"/>
      <c r="V3260" s="72"/>
    </row>
    <row r="3261" spans="1:22" s="63" customFormat="1" ht="22.5" x14ac:dyDescent="0.25">
      <c r="A3261" s="87">
        <v>28.66</v>
      </c>
      <c r="B3261" s="81" t="s">
        <v>96</v>
      </c>
      <c r="C3261" s="80">
        <v>22.2</v>
      </c>
      <c r="D3261" s="131" t="s">
        <v>2849</v>
      </c>
      <c r="E3261" s="83" t="s">
        <v>2850</v>
      </c>
      <c r="F3261" s="81" t="s">
        <v>205</v>
      </c>
      <c r="G3261" s="88">
        <v>0.18559999999999999</v>
      </c>
      <c r="H3261" s="85"/>
      <c r="I3261" s="86">
        <v>62.6</v>
      </c>
      <c r="J3261" s="185">
        <f t="shared" si="317"/>
        <v>384.03</v>
      </c>
      <c r="K3261" s="189">
        <f t="shared" si="318"/>
        <v>71.28</v>
      </c>
      <c r="L3261" s="189"/>
      <c r="M3261" s="138"/>
      <c r="N3261" s="138"/>
      <c r="O3261" s="138"/>
      <c r="S3261" s="72"/>
      <c r="T3261" s="72"/>
      <c r="U3261" s="72"/>
      <c r="V3261" s="72"/>
    </row>
    <row r="3262" spans="1:22" s="63" customFormat="1" ht="22.5" x14ac:dyDescent="0.25">
      <c r="A3262" s="87">
        <v>28.67</v>
      </c>
      <c r="B3262" s="81" t="s">
        <v>96</v>
      </c>
      <c r="C3262" s="80">
        <v>22.3</v>
      </c>
      <c r="D3262" s="131" t="s">
        <v>2594</v>
      </c>
      <c r="E3262" s="83" t="s">
        <v>2595</v>
      </c>
      <c r="F3262" s="81" t="s">
        <v>205</v>
      </c>
      <c r="G3262" s="89">
        <v>1.392E-2</v>
      </c>
      <c r="H3262" s="85"/>
      <c r="I3262" s="86">
        <v>60.12</v>
      </c>
      <c r="J3262" s="185">
        <f t="shared" si="317"/>
        <v>4917.57</v>
      </c>
      <c r="K3262" s="189">
        <f t="shared" si="318"/>
        <v>68.45</v>
      </c>
      <c r="L3262" s="189"/>
      <c r="M3262" s="138"/>
      <c r="N3262" s="138"/>
      <c r="O3262" s="138"/>
      <c r="S3262" s="72"/>
      <c r="T3262" s="72"/>
      <c r="U3262" s="72"/>
      <c r="V3262" s="72"/>
    </row>
    <row r="3263" spans="1:22" s="63" customFormat="1" ht="22.5" x14ac:dyDescent="0.25">
      <c r="A3263" s="87">
        <v>28.68</v>
      </c>
      <c r="B3263" s="81" t="s">
        <v>96</v>
      </c>
      <c r="C3263" s="80">
        <v>22.4</v>
      </c>
      <c r="D3263" s="131" t="s">
        <v>2918</v>
      </c>
      <c r="E3263" s="83" t="s">
        <v>2919</v>
      </c>
      <c r="F3263" s="81" t="s">
        <v>219</v>
      </c>
      <c r="G3263" s="82">
        <v>1</v>
      </c>
      <c r="H3263" s="85"/>
      <c r="I3263" s="86">
        <v>1913.46</v>
      </c>
      <c r="J3263" s="185">
        <f t="shared" si="317"/>
        <v>2178.67</v>
      </c>
      <c r="K3263" s="189">
        <f t="shared" si="318"/>
        <v>2178.67</v>
      </c>
      <c r="L3263" s="189"/>
      <c r="M3263" s="138"/>
      <c r="N3263" s="138"/>
      <c r="O3263" s="138"/>
      <c r="S3263" s="72"/>
      <c r="T3263" s="72"/>
      <c r="U3263" s="72"/>
      <c r="V3263" s="72"/>
    </row>
    <row r="3264" spans="1:22" s="63" customFormat="1" ht="22.5" x14ac:dyDescent="0.25">
      <c r="A3264" s="87">
        <v>28.69</v>
      </c>
      <c r="B3264" s="81" t="s">
        <v>96</v>
      </c>
      <c r="C3264" s="80">
        <v>22.5</v>
      </c>
      <c r="D3264" s="131" t="s">
        <v>2920</v>
      </c>
      <c r="E3264" s="83" t="s">
        <v>2921</v>
      </c>
      <c r="F3264" s="81" t="s">
        <v>219</v>
      </c>
      <c r="G3264" s="82">
        <v>2</v>
      </c>
      <c r="H3264" s="85"/>
      <c r="I3264" s="86">
        <v>6430.9</v>
      </c>
      <c r="J3264" s="185">
        <f t="shared" si="317"/>
        <v>3661.11</v>
      </c>
      <c r="K3264" s="189">
        <f t="shared" si="318"/>
        <v>7322.22</v>
      </c>
      <c r="L3264" s="189"/>
      <c r="M3264" s="138"/>
      <c r="N3264" s="138"/>
      <c r="O3264" s="138"/>
      <c r="S3264" s="72"/>
      <c r="T3264" s="72"/>
      <c r="U3264" s="72"/>
      <c r="V3264" s="72"/>
    </row>
    <row r="3265" spans="1:22" s="63" customFormat="1" ht="22.5" x14ac:dyDescent="0.25">
      <c r="A3265" s="87">
        <v>28.7</v>
      </c>
      <c r="B3265" s="81" t="s">
        <v>96</v>
      </c>
      <c r="C3265" s="80">
        <v>22.6</v>
      </c>
      <c r="D3265" s="131" t="s">
        <v>2922</v>
      </c>
      <c r="E3265" s="83" t="s">
        <v>2923</v>
      </c>
      <c r="F3265" s="81" t="s">
        <v>219</v>
      </c>
      <c r="G3265" s="82">
        <v>2</v>
      </c>
      <c r="H3265" s="85"/>
      <c r="I3265" s="86">
        <v>4314.6099999999997</v>
      </c>
      <c r="J3265" s="185">
        <f t="shared" si="317"/>
        <v>2456.31</v>
      </c>
      <c r="K3265" s="189">
        <f t="shared" si="318"/>
        <v>4912.62</v>
      </c>
      <c r="L3265" s="189"/>
      <c r="M3265" s="138"/>
      <c r="N3265" s="138"/>
      <c r="O3265" s="138"/>
      <c r="S3265" s="72"/>
      <c r="T3265" s="72"/>
      <c r="U3265" s="72"/>
      <c r="V3265" s="72"/>
    </row>
    <row r="3266" spans="1:22" s="63" customFormat="1" ht="22.5" x14ac:dyDescent="0.25">
      <c r="A3266" s="87">
        <v>28.71</v>
      </c>
      <c r="B3266" s="81" t="s">
        <v>96</v>
      </c>
      <c r="C3266" s="80">
        <v>22.7</v>
      </c>
      <c r="D3266" s="131" t="s">
        <v>2924</v>
      </c>
      <c r="E3266" s="83" t="s">
        <v>2925</v>
      </c>
      <c r="F3266" s="81" t="s">
        <v>219</v>
      </c>
      <c r="G3266" s="82">
        <v>1</v>
      </c>
      <c r="H3266" s="85"/>
      <c r="I3266" s="86">
        <v>1061.1600000000001</v>
      </c>
      <c r="J3266" s="185">
        <f t="shared" si="317"/>
        <v>1208.24</v>
      </c>
      <c r="K3266" s="189">
        <f t="shared" si="318"/>
        <v>1208.24</v>
      </c>
      <c r="L3266" s="189"/>
      <c r="M3266" s="138"/>
      <c r="N3266" s="138"/>
      <c r="O3266" s="138"/>
      <c r="S3266" s="72"/>
      <c r="T3266" s="72"/>
      <c r="U3266" s="72"/>
      <c r="V3266" s="72"/>
    </row>
    <row r="3267" spans="1:22" s="63" customFormat="1" ht="22.5" x14ac:dyDescent="0.25">
      <c r="A3267" s="87">
        <v>28.72</v>
      </c>
      <c r="B3267" s="81" t="s">
        <v>96</v>
      </c>
      <c r="C3267" s="80">
        <v>22.8</v>
      </c>
      <c r="D3267" s="131" t="s">
        <v>2910</v>
      </c>
      <c r="E3267" s="83" t="s">
        <v>2911</v>
      </c>
      <c r="F3267" s="81" t="s">
        <v>219</v>
      </c>
      <c r="G3267" s="82">
        <v>1</v>
      </c>
      <c r="H3267" s="85"/>
      <c r="I3267" s="86">
        <v>697.61</v>
      </c>
      <c r="J3267" s="185">
        <f t="shared" si="317"/>
        <v>794.3</v>
      </c>
      <c r="K3267" s="189">
        <f t="shared" si="318"/>
        <v>794.3</v>
      </c>
      <c r="L3267" s="189"/>
      <c r="M3267" s="138"/>
      <c r="N3267" s="138"/>
      <c r="O3267" s="138"/>
      <c r="S3267" s="72"/>
      <c r="T3267" s="72"/>
      <c r="U3267" s="72"/>
      <c r="V3267" s="72"/>
    </row>
    <row r="3268" spans="1:22" s="63" customFormat="1" ht="22.5" x14ac:dyDescent="0.25">
      <c r="A3268" s="87">
        <v>28.73</v>
      </c>
      <c r="B3268" s="81" t="s">
        <v>96</v>
      </c>
      <c r="C3268" s="80">
        <v>22.9</v>
      </c>
      <c r="D3268" s="131" t="s">
        <v>2609</v>
      </c>
      <c r="E3268" s="83" t="s">
        <v>2610</v>
      </c>
      <c r="F3268" s="81" t="s">
        <v>219</v>
      </c>
      <c r="G3268" s="82">
        <v>1</v>
      </c>
      <c r="H3268" s="85"/>
      <c r="I3268" s="86">
        <v>569.55999999999995</v>
      </c>
      <c r="J3268" s="185">
        <f t="shared" si="317"/>
        <v>648.5</v>
      </c>
      <c r="K3268" s="189">
        <f t="shared" si="318"/>
        <v>648.5</v>
      </c>
      <c r="L3268" s="189"/>
      <c r="M3268" s="138"/>
      <c r="N3268" s="138"/>
      <c r="O3268" s="138"/>
      <c r="S3268" s="72"/>
      <c r="T3268" s="72"/>
      <c r="U3268" s="72"/>
      <c r="V3268" s="72"/>
    </row>
    <row r="3269" spans="1:22" s="63" customFormat="1" ht="22.5" x14ac:dyDescent="0.25">
      <c r="A3269" s="87">
        <v>28.74</v>
      </c>
      <c r="B3269" s="81" t="s">
        <v>96</v>
      </c>
      <c r="C3269" s="87">
        <v>22.1</v>
      </c>
      <c r="D3269" s="131" t="s">
        <v>2912</v>
      </c>
      <c r="E3269" s="83" t="s">
        <v>2913</v>
      </c>
      <c r="F3269" s="81" t="s">
        <v>219</v>
      </c>
      <c r="G3269" s="82">
        <v>28</v>
      </c>
      <c r="H3269" s="85"/>
      <c r="I3269" s="86">
        <v>1568.92</v>
      </c>
      <c r="J3269" s="185">
        <f t="shared" si="317"/>
        <v>63.8</v>
      </c>
      <c r="K3269" s="189">
        <f t="shared" si="318"/>
        <v>1786.4</v>
      </c>
      <c r="L3269" s="189"/>
      <c r="M3269" s="138"/>
      <c r="N3269" s="138"/>
      <c r="O3269" s="138"/>
      <c r="S3269" s="72"/>
      <c r="T3269" s="72"/>
      <c r="U3269" s="72"/>
      <c r="V3269" s="72"/>
    </row>
    <row r="3270" spans="1:22" s="63" customFormat="1" ht="22.5" x14ac:dyDescent="0.25">
      <c r="A3270" s="87">
        <v>28.75</v>
      </c>
      <c r="B3270" s="81" t="s">
        <v>96</v>
      </c>
      <c r="C3270" s="87">
        <v>22.11</v>
      </c>
      <c r="D3270" s="131" t="s">
        <v>2914</v>
      </c>
      <c r="E3270" s="83" t="s">
        <v>2915</v>
      </c>
      <c r="F3270" s="81" t="s">
        <v>219</v>
      </c>
      <c r="G3270" s="82">
        <v>1</v>
      </c>
      <c r="H3270" s="85"/>
      <c r="I3270" s="86">
        <v>5292.84</v>
      </c>
      <c r="J3270" s="185">
        <f t="shared" si="317"/>
        <v>6026.43</v>
      </c>
      <c r="K3270" s="189">
        <f t="shared" si="318"/>
        <v>6026.43</v>
      </c>
      <c r="L3270" s="189"/>
      <c r="M3270" s="138"/>
      <c r="N3270" s="138"/>
      <c r="O3270" s="138"/>
      <c r="S3270" s="72"/>
      <c r="T3270" s="72"/>
      <c r="U3270" s="72"/>
      <c r="V3270" s="72"/>
    </row>
    <row r="3271" spans="1:22" s="63" customFormat="1" ht="22.5" x14ac:dyDescent="0.25">
      <c r="A3271" s="87">
        <v>28.76</v>
      </c>
      <c r="B3271" s="81" t="s">
        <v>96</v>
      </c>
      <c r="C3271" s="82">
        <v>23</v>
      </c>
      <c r="D3271" s="131" t="s">
        <v>2862</v>
      </c>
      <c r="E3271" s="83" t="s">
        <v>2863</v>
      </c>
      <c r="F3271" s="81" t="s">
        <v>207</v>
      </c>
      <c r="G3271" s="87">
        <v>0.23</v>
      </c>
      <c r="H3271" s="85"/>
      <c r="I3271" s="86">
        <v>16192.03</v>
      </c>
      <c r="J3271" s="185">
        <f t="shared" si="317"/>
        <v>80157.59</v>
      </c>
      <c r="K3271" s="189">
        <f t="shared" si="318"/>
        <v>18436.25</v>
      </c>
      <c r="L3271" s="189"/>
      <c r="M3271" s="138"/>
      <c r="N3271" s="138"/>
      <c r="O3271" s="138"/>
      <c r="S3271" s="72"/>
      <c r="T3271" s="72"/>
      <c r="U3271" s="72"/>
      <c r="V3271" s="72"/>
    </row>
    <row r="3272" spans="1:22" s="63" customFormat="1" ht="22.5" x14ac:dyDescent="0.25">
      <c r="A3272" s="87">
        <v>28.77</v>
      </c>
      <c r="B3272" s="81" t="s">
        <v>96</v>
      </c>
      <c r="C3272" s="80">
        <v>23.1</v>
      </c>
      <c r="D3272" s="131" t="s">
        <v>2916</v>
      </c>
      <c r="E3272" s="83" t="s">
        <v>2917</v>
      </c>
      <c r="F3272" s="81" t="s">
        <v>370</v>
      </c>
      <c r="G3272" s="80">
        <v>52.9</v>
      </c>
      <c r="H3272" s="85"/>
      <c r="I3272" s="86">
        <v>11715.65</v>
      </c>
      <c r="J3272" s="185">
        <f t="shared" si="317"/>
        <v>252.16</v>
      </c>
      <c r="K3272" s="189">
        <f t="shared" si="318"/>
        <v>13339.26</v>
      </c>
      <c r="L3272" s="189"/>
      <c r="M3272" s="138"/>
      <c r="N3272" s="138"/>
      <c r="O3272" s="138"/>
      <c r="S3272" s="72"/>
      <c r="T3272" s="72"/>
      <c r="U3272" s="72"/>
      <c r="V3272" s="72"/>
    </row>
    <row r="3273" spans="1:22" s="63" customFormat="1" ht="15" x14ac:dyDescent="0.25">
      <c r="A3273" s="194">
        <v>29</v>
      </c>
      <c r="B3273" s="418" t="s">
        <v>2926</v>
      </c>
      <c r="C3273" s="418"/>
      <c r="D3273" s="418"/>
      <c r="E3273" s="195" t="s">
        <v>101</v>
      </c>
      <c r="F3273" s="196"/>
      <c r="G3273" s="194">
        <v>1</v>
      </c>
      <c r="H3273" s="197">
        <v>20379314.129999999</v>
      </c>
      <c r="I3273" s="355">
        <f>SUM(I3275:I3346)</f>
        <v>20379314.149999999</v>
      </c>
      <c r="J3273" s="200"/>
      <c r="K3273" s="198">
        <f>SUM(K3275:K3346)</f>
        <v>23203887.149999999</v>
      </c>
      <c r="L3273" s="198"/>
      <c r="M3273" s="207"/>
      <c r="N3273" s="209"/>
      <c r="O3273" s="138"/>
      <c r="S3273" s="72"/>
      <c r="T3273" s="72"/>
      <c r="U3273" s="72"/>
      <c r="V3273" s="72"/>
    </row>
    <row r="3274" spans="1:22" s="224" customFormat="1" ht="15" x14ac:dyDescent="0.25">
      <c r="A3274" s="216"/>
      <c r="B3274" s="217"/>
      <c r="C3274" s="217"/>
      <c r="D3274" s="217"/>
      <c r="E3274" s="218" t="s">
        <v>3200</v>
      </c>
      <c r="F3274" s="219"/>
      <c r="G3274" s="216"/>
      <c r="H3274" s="220"/>
      <c r="I3274" s="221"/>
      <c r="J3274" s="244"/>
      <c r="K3274" s="221"/>
      <c r="L3274" s="221"/>
      <c r="M3274" s="222"/>
      <c r="N3274" s="223"/>
      <c r="O3274" s="245"/>
      <c r="S3274" s="225"/>
      <c r="T3274" s="225"/>
      <c r="U3274" s="225"/>
      <c r="V3274" s="225"/>
    </row>
    <row r="3275" spans="1:22" s="63" customFormat="1" ht="22.5" x14ac:dyDescent="0.25">
      <c r="A3275" s="80">
        <v>29.1</v>
      </c>
      <c r="B3275" s="81" t="s">
        <v>100</v>
      </c>
      <c r="C3275" s="82">
        <v>3</v>
      </c>
      <c r="D3275" s="131" t="s">
        <v>2927</v>
      </c>
      <c r="E3275" s="83" t="s">
        <v>2928</v>
      </c>
      <c r="F3275" s="81" t="s">
        <v>193</v>
      </c>
      <c r="G3275" s="84">
        <v>3.0680000000000001</v>
      </c>
      <c r="H3275" s="85"/>
      <c r="I3275" s="86">
        <f>103766.14+0.02</f>
        <v>103766.16</v>
      </c>
      <c r="J3275" s="185">
        <f t="shared" ref="J3275:J3283" si="319">ROUND($I3275/$G3275*$N$11,2)</f>
        <v>38509.83</v>
      </c>
      <c r="K3275" s="189">
        <f t="shared" ref="K3275:K3283" si="320">ROUND(G3275*J3275,2)</f>
        <v>118148.16</v>
      </c>
      <c r="L3275" s="189"/>
      <c r="M3275" s="138"/>
      <c r="N3275" s="138"/>
      <c r="O3275" s="138"/>
      <c r="S3275" s="72"/>
      <c r="T3275" s="72"/>
      <c r="U3275" s="72"/>
      <c r="V3275" s="72"/>
    </row>
    <row r="3276" spans="1:22" s="63" customFormat="1" ht="22.5" x14ac:dyDescent="0.25">
      <c r="A3276" s="80">
        <v>29.2</v>
      </c>
      <c r="B3276" s="81" t="s">
        <v>100</v>
      </c>
      <c r="C3276" s="80">
        <v>3.1</v>
      </c>
      <c r="D3276" s="131" t="s">
        <v>2929</v>
      </c>
      <c r="E3276" s="83" t="s">
        <v>4074</v>
      </c>
      <c r="F3276" s="81" t="s">
        <v>193</v>
      </c>
      <c r="G3276" s="84">
        <v>3.0680000000000001</v>
      </c>
      <c r="H3276" s="85"/>
      <c r="I3276" s="86">
        <v>81216.850000000006</v>
      </c>
      <c r="J3276" s="185">
        <f t="shared" si="319"/>
        <v>30141.3</v>
      </c>
      <c r="K3276" s="189">
        <f t="shared" si="320"/>
        <v>92473.51</v>
      </c>
      <c r="L3276" s="189"/>
      <c r="M3276" s="138"/>
      <c r="N3276" s="138"/>
      <c r="O3276" s="138"/>
      <c r="S3276" s="72"/>
      <c r="T3276" s="72"/>
      <c r="U3276" s="72"/>
      <c r="V3276" s="72"/>
    </row>
    <row r="3277" spans="1:22" s="63" customFormat="1" ht="15" x14ac:dyDescent="0.25">
      <c r="A3277" s="80">
        <v>29.3</v>
      </c>
      <c r="B3277" s="81" t="s">
        <v>100</v>
      </c>
      <c r="C3277" s="82">
        <v>4</v>
      </c>
      <c r="D3277" s="131" t="s">
        <v>2930</v>
      </c>
      <c r="E3277" s="83" t="s">
        <v>2931</v>
      </c>
      <c r="F3277" s="81" t="s">
        <v>193</v>
      </c>
      <c r="G3277" s="84">
        <v>3.0680000000000001</v>
      </c>
      <c r="H3277" s="85"/>
      <c r="I3277" s="86">
        <v>137111.35</v>
      </c>
      <c r="J3277" s="185">
        <f t="shared" si="319"/>
        <v>50884.94</v>
      </c>
      <c r="K3277" s="189">
        <f t="shared" si="320"/>
        <v>156115</v>
      </c>
      <c r="L3277" s="189"/>
      <c r="M3277" s="138"/>
      <c r="N3277" s="138"/>
      <c r="O3277" s="138"/>
      <c r="S3277" s="72"/>
      <c r="T3277" s="72"/>
      <c r="U3277" s="72"/>
      <c r="V3277" s="72"/>
    </row>
    <row r="3278" spans="1:22" s="63" customFormat="1" ht="22.5" x14ac:dyDescent="0.25">
      <c r="A3278" s="80">
        <v>29.4</v>
      </c>
      <c r="B3278" s="81" t="s">
        <v>100</v>
      </c>
      <c r="C3278" s="82">
        <v>5</v>
      </c>
      <c r="D3278" s="131" t="s">
        <v>2932</v>
      </c>
      <c r="E3278" s="83" t="s">
        <v>2933</v>
      </c>
      <c r="F3278" s="81" t="s">
        <v>2934</v>
      </c>
      <c r="G3278" s="84">
        <v>14.182</v>
      </c>
      <c r="H3278" s="85"/>
      <c r="I3278" s="86">
        <v>431679.61</v>
      </c>
      <c r="J3278" s="185">
        <f t="shared" si="319"/>
        <v>34657.339999999997</v>
      </c>
      <c r="K3278" s="189">
        <f t="shared" si="320"/>
        <v>491510.4</v>
      </c>
      <c r="L3278" s="189"/>
      <c r="M3278" s="138"/>
      <c r="N3278" s="138"/>
      <c r="O3278" s="138"/>
      <c r="S3278" s="72"/>
      <c r="T3278" s="72"/>
      <c r="U3278" s="72"/>
      <c r="V3278" s="72"/>
    </row>
    <row r="3279" spans="1:22" s="63" customFormat="1" ht="22.5" x14ac:dyDescent="0.25">
      <c r="A3279" s="80">
        <v>29.5</v>
      </c>
      <c r="B3279" s="81" t="s">
        <v>100</v>
      </c>
      <c r="C3279" s="80">
        <v>5.0999999999999996</v>
      </c>
      <c r="D3279" s="131" t="s">
        <v>2929</v>
      </c>
      <c r="E3279" s="83" t="s">
        <v>4075</v>
      </c>
      <c r="F3279" s="81" t="s">
        <v>193</v>
      </c>
      <c r="G3279" s="84">
        <v>14.182</v>
      </c>
      <c r="H3279" s="85"/>
      <c r="I3279" s="86">
        <v>268164.78000000003</v>
      </c>
      <c r="J3279" s="185">
        <f t="shared" si="319"/>
        <v>21529.57</v>
      </c>
      <c r="K3279" s="189">
        <f t="shared" si="320"/>
        <v>305332.36</v>
      </c>
      <c r="L3279" s="189"/>
      <c r="M3279" s="138"/>
      <c r="N3279" s="138"/>
      <c r="O3279" s="138"/>
      <c r="S3279" s="72"/>
      <c r="T3279" s="72"/>
      <c r="U3279" s="72"/>
      <c r="V3279" s="72"/>
    </row>
    <row r="3280" spans="1:22" s="63" customFormat="1" ht="33.75" x14ac:dyDescent="0.25">
      <c r="A3280" s="80">
        <v>29.6</v>
      </c>
      <c r="B3280" s="81" t="s">
        <v>100</v>
      </c>
      <c r="C3280" s="82">
        <v>7</v>
      </c>
      <c r="D3280" s="131" t="s">
        <v>2935</v>
      </c>
      <c r="E3280" s="83" t="s">
        <v>2936</v>
      </c>
      <c r="F3280" s="81" t="s">
        <v>2321</v>
      </c>
      <c r="G3280" s="87">
        <v>1265.25</v>
      </c>
      <c r="H3280" s="85"/>
      <c r="I3280" s="86">
        <v>274128.14</v>
      </c>
      <c r="J3280" s="185">
        <f t="shared" si="319"/>
        <v>246.69</v>
      </c>
      <c r="K3280" s="189">
        <f t="shared" si="320"/>
        <v>312124.52</v>
      </c>
      <c r="L3280" s="189"/>
      <c r="M3280" s="138"/>
      <c r="N3280" s="138"/>
      <c r="O3280" s="138"/>
      <c r="S3280" s="72"/>
      <c r="T3280" s="72"/>
      <c r="U3280" s="72"/>
      <c r="V3280" s="72"/>
    </row>
    <row r="3281" spans="1:22" s="63" customFormat="1" ht="22.5" x14ac:dyDescent="0.25">
      <c r="A3281" s="80">
        <v>29.7</v>
      </c>
      <c r="B3281" s="81" t="s">
        <v>100</v>
      </c>
      <c r="C3281" s="82">
        <v>8</v>
      </c>
      <c r="D3281" s="131" t="s">
        <v>2937</v>
      </c>
      <c r="E3281" s="83" t="s">
        <v>2938</v>
      </c>
      <c r="F3281" s="81" t="s">
        <v>2934</v>
      </c>
      <c r="G3281" s="87">
        <v>0.34</v>
      </c>
      <c r="H3281" s="85"/>
      <c r="I3281" s="86">
        <v>23170.29</v>
      </c>
      <c r="J3281" s="185">
        <f t="shared" si="319"/>
        <v>77593.210000000006</v>
      </c>
      <c r="K3281" s="189">
        <f t="shared" si="320"/>
        <v>26381.69</v>
      </c>
      <c r="L3281" s="189"/>
      <c r="M3281" s="138"/>
      <c r="N3281" s="138"/>
      <c r="O3281" s="138"/>
      <c r="S3281" s="72"/>
      <c r="T3281" s="72"/>
      <c r="U3281" s="72"/>
      <c r="V3281" s="72"/>
    </row>
    <row r="3282" spans="1:22" s="63" customFormat="1" ht="22.5" x14ac:dyDescent="0.25">
      <c r="A3282" s="80">
        <v>29.8</v>
      </c>
      <c r="B3282" s="81" t="s">
        <v>100</v>
      </c>
      <c r="C3282" s="80">
        <v>8.1</v>
      </c>
      <c r="D3282" s="131" t="s">
        <v>2939</v>
      </c>
      <c r="E3282" s="83" t="s">
        <v>2940</v>
      </c>
      <c r="F3282" s="81" t="s">
        <v>210</v>
      </c>
      <c r="G3282" s="84">
        <v>19.992000000000001</v>
      </c>
      <c r="H3282" s="85"/>
      <c r="I3282" s="86">
        <v>21273.279999999999</v>
      </c>
      <c r="J3282" s="185">
        <f t="shared" si="319"/>
        <v>1211.57</v>
      </c>
      <c r="K3282" s="189">
        <f t="shared" si="320"/>
        <v>24221.71</v>
      </c>
      <c r="L3282" s="189"/>
      <c r="M3282" s="138"/>
      <c r="N3282" s="138"/>
      <c r="O3282" s="138"/>
      <c r="S3282" s="72"/>
      <c r="T3282" s="72"/>
      <c r="U3282" s="72"/>
      <c r="V3282" s="72"/>
    </row>
    <row r="3283" spans="1:22" s="63" customFormat="1" ht="22.5" x14ac:dyDescent="0.25">
      <c r="A3283" s="80">
        <v>29.9</v>
      </c>
      <c r="B3283" s="81" t="s">
        <v>100</v>
      </c>
      <c r="C3283" s="80">
        <v>8.1999999999999993</v>
      </c>
      <c r="D3283" s="131" t="s">
        <v>2941</v>
      </c>
      <c r="E3283" s="83" t="s">
        <v>2942</v>
      </c>
      <c r="F3283" s="81" t="s">
        <v>210</v>
      </c>
      <c r="G3283" s="87">
        <v>41.14</v>
      </c>
      <c r="H3283" s="85"/>
      <c r="I3283" s="86">
        <v>1059.47</v>
      </c>
      <c r="J3283" s="185">
        <f t="shared" si="319"/>
        <v>29.32</v>
      </c>
      <c r="K3283" s="189">
        <f t="shared" si="320"/>
        <v>1206.22</v>
      </c>
      <c r="L3283" s="189"/>
      <c r="M3283" s="138"/>
      <c r="N3283" s="138"/>
      <c r="O3283" s="138"/>
      <c r="S3283" s="72"/>
      <c r="T3283" s="72"/>
      <c r="U3283" s="72"/>
      <c r="V3283" s="72"/>
    </row>
    <row r="3284" spans="1:22" s="128" customFormat="1" ht="12.75" x14ac:dyDescent="0.25">
      <c r="A3284" s="236"/>
      <c r="B3284" s="125"/>
      <c r="C3284" s="236"/>
      <c r="D3284" s="77"/>
      <c r="E3284" s="126" t="s">
        <v>3408</v>
      </c>
      <c r="F3284" s="125"/>
      <c r="G3284" s="237"/>
      <c r="H3284" s="127"/>
      <c r="I3284" s="78"/>
      <c r="J3284" s="238"/>
      <c r="K3284" s="239"/>
      <c r="L3284" s="239"/>
      <c r="M3284" s="79"/>
      <c r="N3284" s="79"/>
      <c r="O3284" s="79"/>
      <c r="S3284" s="129"/>
      <c r="T3284" s="129"/>
      <c r="U3284" s="129"/>
      <c r="V3284" s="129"/>
    </row>
    <row r="3285" spans="1:22" s="128" customFormat="1" ht="12.75" x14ac:dyDescent="0.25">
      <c r="A3285" s="236"/>
      <c r="B3285" s="125"/>
      <c r="C3285" s="236"/>
      <c r="D3285" s="77"/>
      <c r="E3285" s="126" t="s">
        <v>3409</v>
      </c>
      <c r="F3285" s="125"/>
      <c r="G3285" s="237"/>
      <c r="H3285" s="127"/>
      <c r="I3285" s="78"/>
      <c r="J3285" s="238"/>
      <c r="K3285" s="239"/>
      <c r="L3285" s="239"/>
      <c r="M3285" s="79"/>
      <c r="N3285" s="79"/>
      <c r="O3285" s="79"/>
      <c r="S3285" s="129"/>
      <c r="T3285" s="129"/>
      <c r="U3285" s="129"/>
      <c r="V3285" s="129"/>
    </row>
    <row r="3286" spans="1:22" s="63" customFormat="1" ht="22.5" x14ac:dyDescent="0.25">
      <c r="A3286" s="87">
        <v>29.1</v>
      </c>
      <c r="B3286" s="81" t="s">
        <v>100</v>
      </c>
      <c r="C3286" s="82">
        <v>9</v>
      </c>
      <c r="D3286" s="131" t="s">
        <v>2943</v>
      </c>
      <c r="E3286" s="83" t="s">
        <v>2944</v>
      </c>
      <c r="F3286" s="81" t="s">
        <v>2934</v>
      </c>
      <c r="G3286" s="84">
        <v>1.921</v>
      </c>
      <c r="H3286" s="85"/>
      <c r="I3286" s="86">
        <v>80134.3</v>
      </c>
      <c r="J3286" s="185">
        <f t="shared" ref="J3286:J3303" si="321">ROUND($I3286/$G3286*$N$11,2)</f>
        <v>47496.57</v>
      </c>
      <c r="K3286" s="189">
        <f t="shared" ref="K3286:K3303" si="322">ROUND(G3286*J3286,2)</f>
        <v>91240.91</v>
      </c>
      <c r="L3286" s="189"/>
      <c r="M3286" s="138"/>
      <c r="N3286" s="138"/>
      <c r="O3286" s="138"/>
      <c r="S3286" s="72"/>
      <c r="T3286" s="72"/>
      <c r="U3286" s="72"/>
      <c r="V3286" s="72"/>
    </row>
    <row r="3287" spans="1:22" s="63" customFormat="1" ht="22.5" x14ac:dyDescent="0.25">
      <c r="A3287" s="87">
        <v>29.11</v>
      </c>
      <c r="B3287" s="81" t="s">
        <v>100</v>
      </c>
      <c r="C3287" s="80">
        <v>9.1</v>
      </c>
      <c r="D3287" s="131" t="s">
        <v>2945</v>
      </c>
      <c r="E3287" s="83" t="s">
        <v>4076</v>
      </c>
      <c r="F3287" s="81" t="s">
        <v>370</v>
      </c>
      <c r="G3287" s="80">
        <v>2113.1</v>
      </c>
      <c r="H3287" s="85"/>
      <c r="I3287" s="86">
        <v>112380.57</v>
      </c>
      <c r="J3287" s="185">
        <f t="shared" si="321"/>
        <v>60.55</v>
      </c>
      <c r="K3287" s="189">
        <f t="shared" si="322"/>
        <v>127948.21</v>
      </c>
      <c r="L3287" s="189"/>
      <c r="M3287" s="138"/>
      <c r="N3287" s="138"/>
      <c r="O3287" s="138"/>
      <c r="S3287" s="72"/>
      <c r="T3287" s="72"/>
      <c r="U3287" s="72"/>
      <c r="V3287" s="72"/>
    </row>
    <row r="3288" spans="1:22" s="63" customFormat="1" ht="15" x14ac:dyDescent="0.25">
      <c r="A3288" s="87">
        <v>29.12</v>
      </c>
      <c r="B3288" s="81" t="s">
        <v>100</v>
      </c>
      <c r="C3288" s="82">
        <v>10</v>
      </c>
      <c r="D3288" s="131" t="s">
        <v>2946</v>
      </c>
      <c r="E3288" s="83" t="s">
        <v>2947</v>
      </c>
      <c r="F3288" s="81" t="s">
        <v>196</v>
      </c>
      <c r="G3288" s="84">
        <v>3.8420000000000001</v>
      </c>
      <c r="H3288" s="85"/>
      <c r="I3288" s="86">
        <v>358760.38</v>
      </c>
      <c r="J3288" s="185">
        <f t="shared" si="321"/>
        <v>106320.81</v>
      </c>
      <c r="K3288" s="189">
        <f t="shared" si="322"/>
        <v>408484.55</v>
      </c>
      <c r="L3288" s="189"/>
      <c r="M3288" s="138"/>
      <c r="N3288" s="138"/>
      <c r="O3288" s="138"/>
      <c r="S3288" s="72"/>
      <c r="T3288" s="72"/>
      <c r="U3288" s="72"/>
      <c r="V3288" s="72"/>
    </row>
    <row r="3289" spans="1:22" s="63" customFormat="1" ht="22.5" x14ac:dyDescent="0.25">
      <c r="A3289" s="87">
        <v>29.13</v>
      </c>
      <c r="B3289" s="81" t="s">
        <v>100</v>
      </c>
      <c r="C3289" s="80">
        <v>10.1</v>
      </c>
      <c r="D3289" s="131" t="s">
        <v>345</v>
      </c>
      <c r="E3289" s="83" t="s">
        <v>346</v>
      </c>
      <c r="F3289" s="81" t="s">
        <v>205</v>
      </c>
      <c r="G3289" s="84">
        <v>484.09199999999998</v>
      </c>
      <c r="H3289" s="85"/>
      <c r="I3289" s="86">
        <v>662134.44999999995</v>
      </c>
      <c r="J3289" s="185">
        <f t="shared" si="321"/>
        <v>1557.36</v>
      </c>
      <c r="K3289" s="189">
        <f t="shared" si="322"/>
        <v>753905.52</v>
      </c>
      <c r="L3289" s="189"/>
      <c r="M3289" s="138"/>
      <c r="N3289" s="138"/>
      <c r="O3289" s="138"/>
      <c r="S3289" s="72"/>
      <c r="T3289" s="72"/>
      <c r="U3289" s="72"/>
      <c r="V3289" s="72"/>
    </row>
    <row r="3290" spans="1:22" s="63" customFormat="1" ht="22.5" x14ac:dyDescent="0.25">
      <c r="A3290" s="87">
        <v>29.14</v>
      </c>
      <c r="B3290" s="81" t="s">
        <v>100</v>
      </c>
      <c r="C3290" s="82">
        <v>11</v>
      </c>
      <c r="D3290" s="131" t="s">
        <v>2948</v>
      </c>
      <c r="E3290" s="83" t="s">
        <v>2949</v>
      </c>
      <c r="F3290" s="81" t="s">
        <v>226</v>
      </c>
      <c r="G3290" s="88">
        <v>1.5367999999999999</v>
      </c>
      <c r="H3290" s="85"/>
      <c r="I3290" s="86">
        <v>27465.54</v>
      </c>
      <c r="J3290" s="185">
        <f t="shared" si="321"/>
        <v>20348.95</v>
      </c>
      <c r="K3290" s="189">
        <f t="shared" si="322"/>
        <v>31272.27</v>
      </c>
      <c r="L3290" s="189"/>
      <c r="M3290" s="138"/>
      <c r="N3290" s="138"/>
      <c r="O3290" s="138"/>
      <c r="S3290" s="72"/>
      <c r="T3290" s="72"/>
      <c r="U3290" s="72"/>
      <c r="V3290" s="72"/>
    </row>
    <row r="3291" spans="1:22" s="63" customFormat="1" ht="22.5" x14ac:dyDescent="0.25">
      <c r="A3291" s="87">
        <v>29.15</v>
      </c>
      <c r="B3291" s="81" t="s">
        <v>100</v>
      </c>
      <c r="C3291" s="82">
        <v>12</v>
      </c>
      <c r="D3291" s="131" t="s">
        <v>2950</v>
      </c>
      <c r="E3291" s="83" t="s">
        <v>2951</v>
      </c>
      <c r="F3291" s="81" t="s">
        <v>2934</v>
      </c>
      <c r="G3291" s="84">
        <v>1.921</v>
      </c>
      <c r="H3291" s="85"/>
      <c r="I3291" s="86">
        <v>190173.4</v>
      </c>
      <c r="J3291" s="185">
        <f t="shared" si="321"/>
        <v>112718.08</v>
      </c>
      <c r="K3291" s="189">
        <f t="shared" si="322"/>
        <v>216531.43</v>
      </c>
      <c r="L3291" s="189"/>
      <c r="M3291" s="138"/>
      <c r="N3291" s="138"/>
      <c r="O3291" s="138"/>
      <c r="S3291" s="72"/>
      <c r="T3291" s="72"/>
      <c r="U3291" s="72"/>
      <c r="V3291" s="72"/>
    </row>
    <row r="3292" spans="1:22" s="63" customFormat="1" ht="22.5" x14ac:dyDescent="0.25">
      <c r="A3292" s="87">
        <v>29.16</v>
      </c>
      <c r="B3292" s="81" t="s">
        <v>100</v>
      </c>
      <c r="C3292" s="80">
        <v>12.1</v>
      </c>
      <c r="D3292" s="131" t="s">
        <v>2952</v>
      </c>
      <c r="E3292" s="83" t="s">
        <v>2953</v>
      </c>
      <c r="F3292" s="81" t="s">
        <v>226</v>
      </c>
      <c r="G3292" s="80">
        <v>177.7</v>
      </c>
      <c r="H3292" s="85"/>
      <c r="I3292" s="86">
        <v>798298.06</v>
      </c>
      <c r="J3292" s="185">
        <f t="shared" si="321"/>
        <v>5115.04</v>
      </c>
      <c r="K3292" s="189">
        <f t="shared" si="322"/>
        <v>908942.61</v>
      </c>
      <c r="L3292" s="189"/>
      <c r="M3292" s="138"/>
      <c r="N3292" s="138"/>
      <c r="O3292" s="138"/>
      <c r="S3292" s="72"/>
      <c r="T3292" s="72"/>
      <c r="U3292" s="72"/>
      <c r="V3292" s="72"/>
    </row>
    <row r="3293" spans="1:22" s="63" customFormat="1" ht="22.5" x14ac:dyDescent="0.25">
      <c r="A3293" s="87">
        <v>29.17</v>
      </c>
      <c r="B3293" s="81" t="s">
        <v>100</v>
      </c>
      <c r="C3293" s="80">
        <v>12.2</v>
      </c>
      <c r="D3293" s="131" t="s">
        <v>2954</v>
      </c>
      <c r="E3293" s="83" t="s">
        <v>2955</v>
      </c>
      <c r="F3293" s="81" t="s">
        <v>226</v>
      </c>
      <c r="G3293" s="88">
        <v>2.07E-2</v>
      </c>
      <c r="H3293" s="85"/>
      <c r="I3293" s="86">
        <v>390.36</v>
      </c>
      <c r="J3293" s="185">
        <f t="shared" si="321"/>
        <v>21471.69</v>
      </c>
      <c r="K3293" s="189">
        <f t="shared" si="322"/>
        <v>444.46</v>
      </c>
      <c r="L3293" s="189"/>
      <c r="M3293" s="138"/>
      <c r="N3293" s="138"/>
      <c r="O3293" s="138"/>
      <c r="S3293" s="72"/>
      <c r="T3293" s="72"/>
      <c r="U3293" s="72"/>
      <c r="V3293" s="72"/>
    </row>
    <row r="3294" spans="1:22" s="63" customFormat="1" ht="22.5" x14ac:dyDescent="0.25">
      <c r="A3294" s="87">
        <v>29.18</v>
      </c>
      <c r="B3294" s="81" t="s">
        <v>100</v>
      </c>
      <c r="C3294" s="82">
        <v>13</v>
      </c>
      <c r="D3294" s="131" t="s">
        <v>2956</v>
      </c>
      <c r="E3294" s="83" t="s">
        <v>4077</v>
      </c>
      <c r="F3294" s="81" t="s">
        <v>2934</v>
      </c>
      <c r="G3294" s="84">
        <v>1.921</v>
      </c>
      <c r="H3294" s="85"/>
      <c r="I3294" s="86">
        <v>1678.02</v>
      </c>
      <c r="J3294" s="185">
        <f t="shared" si="321"/>
        <v>994.58</v>
      </c>
      <c r="K3294" s="189">
        <f t="shared" si="322"/>
        <v>1910.59</v>
      </c>
      <c r="L3294" s="189"/>
      <c r="M3294" s="138"/>
      <c r="N3294" s="138"/>
      <c r="O3294" s="138"/>
      <c r="S3294" s="72"/>
      <c r="T3294" s="72"/>
      <c r="U3294" s="72"/>
      <c r="V3294" s="72"/>
    </row>
    <row r="3295" spans="1:22" s="63" customFormat="1" ht="22.5" x14ac:dyDescent="0.25">
      <c r="A3295" s="87">
        <v>29.19</v>
      </c>
      <c r="B3295" s="81" t="s">
        <v>100</v>
      </c>
      <c r="C3295" s="80">
        <v>13.1</v>
      </c>
      <c r="D3295" s="131" t="s">
        <v>2952</v>
      </c>
      <c r="E3295" s="83" t="s">
        <v>2953</v>
      </c>
      <c r="F3295" s="81" t="s">
        <v>226</v>
      </c>
      <c r="G3295" s="80">
        <v>133.69999999999999</v>
      </c>
      <c r="H3295" s="85"/>
      <c r="I3295" s="86">
        <v>600632.81000000006</v>
      </c>
      <c r="J3295" s="185">
        <f t="shared" si="321"/>
        <v>5115.04</v>
      </c>
      <c r="K3295" s="189">
        <f t="shared" si="322"/>
        <v>683880.85</v>
      </c>
      <c r="L3295" s="189"/>
      <c r="M3295" s="138"/>
      <c r="N3295" s="138"/>
      <c r="O3295" s="138"/>
      <c r="S3295" s="72"/>
      <c r="T3295" s="72"/>
      <c r="U3295" s="72"/>
      <c r="V3295" s="72"/>
    </row>
    <row r="3296" spans="1:22" s="63" customFormat="1" ht="22.5" x14ac:dyDescent="0.25">
      <c r="A3296" s="87">
        <v>29.2</v>
      </c>
      <c r="B3296" s="81" t="s">
        <v>100</v>
      </c>
      <c r="C3296" s="80">
        <v>13.2</v>
      </c>
      <c r="D3296" s="131" t="s">
        <v>2954</v>
      </c>
      <c r="E3296" s="83" t="s">
        <v>2955</v>
      </c>
      <c r="F3296" s="81" t="s">
        <v>226</v>
      </c>
      <c r="G3296" s="88">
        <v>1.61E-2</v>
      </c>
      <c r="H3296" s="85"/>
      <c r="I3296" s="86">
        <v>303.61</v>
      </c>
      <c r="J3296" s="185">
        <f t="shared" si="321"/>
        <v>21471.45</v>
      </c>
      <c r="K3296" s="189">
        <f t="shared" si="322"/>
        <v>345.69</v>
      </c>
      <c r="L3296" s="189"/>
      <c r="M3296" s="138"/>
      <c r="N3296" s="138"/>
      <c r="O3296" s="138"/>
      <c r="S3296" s="72"/>
      <c r="T3296" s="72"/>
      <c r="U3296" s="72"/>
      <c r="V3296" s="72"/>
    </row>
    <row r="3297" spans="1:22" s="63" customFormat="1" ht="22.5" x14ac:dyDescent="0.25">
      <c r="A3297" s="87">
        <v>29.21</v>
      </c>
      <c r="B3297" s="81" t="s">
        <v>100</v>
      </c>
      <c r="C3297" s="82">
        <v>14</v>
      </c>
      <c r="D3297" s="131" t="s">
        <v>2948</v>
      </c>
      <c r="E3297" s="83" t="s">
        <v>2949</v>
      </c>
      <c r="F3297" s="81" t="s">
        <v>226</v>
      </c>
      <c r="G3297" s="84">
        <v>0.57599999999999996</v>
      </c>
      <c r="H3297" s="85"/>
      <c r="I3297" s="86">
        <v>10293.86</v>
      </c>
      <c r="J3297" s="185">
        <f t="shared" si="321"/>
        <v>20348.240000000002</v>
      </c>
      <c r="K3297" s="189">
        <f t="shared" si="322"/>
        <v>11720.59</v>
      </c>
      <c r="L3297" s="189"/>
      <c r="M3297" s="138"/>
      <c r="N3297" s="138"/>
      <c r="O3297" s="138"/>
      <c r="S3297" s="72"/>
      <c r="T3297" s="72"/>
      <c r="U3297" s="72"/>
      <c r="V3297" s="72"/>
    </row>
    <row r="3298" spans="1:22" s="63" customFormat="1" ht="33.75" x14ac:dyDescent="0.25">
      <c r="A3298" s="87">
        <v>29.22</v>
      </c>
      <c r="B3298" s="81" t="s">
        <v>100</v>
      </c>
      <c r="C3298" s="82">
        <v>15</v>
      </c>
      <c r="D3298" s="131" t="s">
        <v>2957</v>
      </c>
      <c r="E3298" s="83" t="s">
        <v>2958</v>
      </c>
      <c r="F3298" s="81" t="s">
        <v>2934</v>
      </c>
      <c r="G3298" s="84">
        <v>1.921</v>
      </c>
      <c r="H3298" s="85"/>
      <c r="I3298" s="86">
        <v>194552.62</v>
      </c>
      <c r="J3298" s="185">
        <f t="shared" si="321"/>
        <v>115313.7</v>
      </c>
      <c r="K3298" s="189">
        <f t="shared" si="322"/>
        <v>221517.62</v>
      </c>
      <c r="L3298" s="189"/>
      <c r="M3298" s="138"/>
      <c r="N3298" s="138"/>
      <c r="O3298" s="138"/>
      <c r="S3298" s="72"/>
      <c r="T3298" s="72"/>
      <c r="U3298" s="72"/>
      <c r="V3298" s="72"/>
    </row>
    <row r="3299" spans="1:22" s="63" customFormat="1" ht="33.75" x14ac:dyDescent="0.25">
      <c r="A3299" s="87">
        <v>29.23</v>
      </c>
      <c r="B3299" s="81" t="s">
        <v>100</v>
      </c>
      <c r="C3299" s="80">
        <v>15.1</v>
      </c>
      <c r="D3299" s="131" t="s">
        <v>2959</v>
      </c>
      <c r="E3299" s="83" t="s">
        <v>2960</v>
      </c>
      <c r="F3299" s="81" t="s">
        <v>226</v>
      </c>
      <c r="G3299" s="80">
        <v>185.6</v>
      </c>
      <c r="H3299" s="85"/>
      <c r="I3299" s="86">
        <v>959095.14</v>
      </c>
      <c r="J3299" s="185">
        <f t="shared" si="321"/>
        <v>5883.76</v>
      </c>
      <c r="K3299" s="189">
        <f t="shared" si="322"/>
        <v>1092025.8600000001</v>
      </c>
      <c r="L3299" s="189"/>
      <c r="M3299" s="138"/>
      <c r="N3299" s="138"/>
      <c r="O3299" s="138"/>
      <c r="S3299" s="72"/>
      <c r="T3299" s="72"/>
      <c r="U3299" s="72"/>
      <c r="V3299" s="72"/>
    </row>
    <row r="3300" spans="1:22" s="63" customFormat="1" ht="22.5" x14ac:dyDescent="0.25">
      <c r="A3300" s="87">
        <v>29.24</v>
      </c>
      <c r="B3300" s="81" t="s">
        <v>100</v>
      </c>
      <c r="C3300" s="80">
        <v>15.2</v>
      </c>
      <c r="D3300" s="131" t="s">
        <v>2954</v>
      </c>
      <c r="E3300" s="83" t="s">
        <v>2955</v>
      </c>
      <c r="F3300" s="81" t="s">
        <v>226</v>
      </c>
      <c r="G3300" s="88">
        <v>2.07E-2</v>
      </c>
      <c r="H3300" s="85"/>
      <c r="I3300" s="86">
        <v>390.36</v>
      </c>
      <c r="J3300" s="185">
        <f t="shared" si="321"/>
        <v>21471.69</v>
      </c>
      <c r="K3300" s="189">
        <f t="shared" si="322"/>
        <v>444.46</v>
      </c>
      <c r="L3300" s="189"/>
      <c r="M3300" s="138"/>
      <c r="N3300" s="138"/>
      <c r="O3300" s="138"/>
      <c r="S3300" s="72"/>
      <c r="T3300" s="72"/>
      <c r="U3300" s="72"/>
      <c r="V3300" s="72"/>
    </row>
    <row r="3301" spans="1:22" s="63" customFormat="1" ht="22.5" x14ac:dyDescent="0.25">
      <c r="A3301" s="87">
        <v>29.25</v>
      </c>
      <c r="B3301" s="81" t="s">
        <v>100</v>
      </c>
      <c r="C3301" s="82">
        <v>16</v>
      </c>
      <c r="D3301" s="131" t="s">
        <v>2961</v>
      </c>
      <c r="E3301" s="83" t="s">
        <v>4078</v>
      </c>
      <c r="F3301" s="81" t="s">
        <v>2934</v>
      </c>
      <c r="G3301" s="84">
        <v>1.921</v>
      </c>
      <c r="H3301" s="85"/>
      <c r="I3301" s="86">
        <v>569.11</v>
      </c>
      <c r="J3301" s="185">
        <f t="shared" si="321"/>
        <v>337.32</v>
      </c>
      <c r="K3301" s="189">
        <f t="shared" si="322"/>
        <v>647.99</v>
      </c>
      <c r="L3301" s="189"/>
      <c r="M3301" s="138"/>
      <c r="N3301" s="138"/>
      <c r="O3301" s="138"/>
      <c r="S3301" s="72"/>
      <c r="T3301" s="72"/>
      <c r="U3301" s="72"/>
      <c r="V3301" s="72"/>
    </row>
    <row r="3302" spans="1:22" s="63" customFormat="1" ht="33.75" x14ac:dyDescent="0.25">
      <c r="A3302" s="87">
        <v>29.26</v>
      </c>
      <c r="B3302" s="81" t="s">
        <v>100</v>
      </c>
      <c r="C3302" s="80">
        <v>16.100000000000001</v>
      </c>
      <c r="D3302" s="131" t="s">
        <v>2959</v>
      </c>
      <c r="E3302" s="83" t="s">
        <v>2960</v>
      </c>
      <c r="F3302" s="81" t="s">
        <v>226</v>
      </c>
      <c r="G3302" s="87">
        <v>46.49</v>
      </c>
      <c r="H3302" s="85"/>
      <c r="I3302" s="86">
        <v>240238.9</v>
      </c>
      <c r="J3302" s="185">
        <f t="shared" si="321"/>
        <v>5883.76</v>
      </c>
      <c r="K3302" s="189">
        <f t="shared" si="322"/>
        <v>273536</v>
      </c>
      <c r="L3302" s="189"/>
      <c r="M3302" s="138"/>
      <c r="N3302" s="138"/>
      <c r="O3302" s="138"/>
      <c r="S3302" s="72"/>
      <c r="T3302" s="72"/>
      <c r="U3302" s="72"/>
      <c r="V3302" s="72"/>
    </row>
    <row r="3303" spans="1:22" s="63" customFormat="1" ht="22.5" x14ac:dyDescent="0.25">
      <c r="A3303" s="87">
        <v>29.27</v>
      </c>
      <c r="B3303" s="81" t="s">
        <v>100</v>
      </c>
      <c r="C3303" s="80">
        <v>16.2</v>
      </c>
      <c r="D3303" s="131" t="s">
        <v>2954</v>
      </c>
      <c r="E3303" s="83" t="s">
        <v>2955</v>
      </c>
      <c r="F3303" s="81" t="s">
        <v>226</v>
      </c>
      <c r="G3303" s="88">
        <v>5.4000000000000003E-3</v>
      </c>
      <c r="H3303" s="85"/>
      <c r="I3303" s="86">
        <v>101.85</v>
      </c>
      <c r="J3303" s="185">
        <f t="shared" si="321"/>
        <v>21475.26</v>
      </c>
      <c r="K3303" s="189">
        <f t="shared" si="322"/>
        <v>115.97</v>
      </c>
      <c r="L3303" s="189"/>
      <c r="M3303" s="138"/>
      <c r="N3303" s="138"/>
      <c r="O3303" s="138"/>
      <c r="S3303" s="72"/>
      <c r="T3303" s="72"/>
      <c r="U3303" s="72"/>
      <c r="V3303" s="72"/>
    </row>
    <row r="3304" spans="1:22" s="128" customFormat="1" ht="12.75" x14ac:dyDescent="0.25">
      <c r="A3304" s="237"/>
      <c r="B3304" s="125"/>
      <c r="C3304" s="236"/>
      <c r="D3304" s="77"/>
      <c r="E3304" s="126" t="s">
        <v>3410</v>
      </c>
      <c r="F3304" s="125"/>
      <c r="G3304" s="240"/>
      <c r="H3304" s="127"/>
      <c r="I3304" s="78"/>
      <c r="J3304" s="238"/>
      <c r="K3304" s="239"/>
      <c r="L3304" s="239"/>
      <c r="M3304" s="79"/>
      <c r="N3304" s="79"/>
      <c r="O3304" s="79"/>
      <c r="S3304" s="129"/>
      <c r="T3304" s="129"/>
      <c r="U3304" s="129"/>
      <c r="V3304" s="129"/>
    </row>
    <row r="3305" spans="1:22" s="63" customFormat="1" ht="22.5" x14ac:dyDescent="0.25">
      <c r="A3305" s="87">
        <v>29.28</v>
      </c>
      <c r="B3305" s="81" t="s">
        <v>100</v>
      </c>
      <c r="C3305" s="82">
        <v>17</v>
      </c>
      <c r="D3305" s="131" t="s">
        <v>2962</v>
      </c>
      <c r="E3305" s="83" t="s">
        <v>2963</v>
      </c>
      <c r="F3305" s="81" t="s">
        <v>207</v>
      </c>
      <c r="G3305" s="87">
        <v>8.0399999999999991</v>
      </c>
      <c r="H3305" s="85"/>
      <c r="I3305" s="86">
        <v>269945.25</v>
      </c>
      <c r="J3305" s="185">
        <f t="shared" ref="J3305:J3315" si="323">ROUND($I3305/$G3305*$N$11,2)</f>
        <v>38228.81</v>
      </c>
      <c r="K3305" s="189">
        <f t="shared" ref="K3305:K3315" si="324">ROUND(G3305*J3305,2)</f>
        <v>307359.63</v>
      </c>
      <c r="L3305" s="189"/>
      <c r="M3305" s="138"/>
      <c r="N3305" s="138"/>
      <c r="O3305" s="138"/>
      <c r="S3305" s="72"/>
      <c r="T3305" s="72"/>
      <c r="U3305" s="72"/>
      <c r="V3305" s="72"/>
    </row>
    <row r="3306" spans="1:22" s="63" customFormat="1" ht="22.5" x14ac:dyDescent="0.25">
      <c r="A3306" s="87">
        <v>29.29</v>
      </c>
      <c r="B3306" s="81" t="s">
        <v>100</v>
      </c>
      <c r="C3306" s="80">
        <v>17.100000000000001</v>
      </c>
      <c r="D3306" s="131" t="s">
        <v>322</v>
      </c>
      <c r="E3306" s="83" t="s">
        <v>323</v>
      </c>
      <c r="F3306" s="81" t="s">
        <v>205</v>
      </c>
      <c r="G3306" s="87">
        <v>138.35</v>
      </c>
      <c r="H3306" s="85"/>
      <c r="I3306" s="86">
        <v>194380.89</v>
      </c>
      <c r="J3306" s="185">
        <f t="shared" si="323"/>
        <v>1599.73</v>
      </c>
      <c r="K3306" s="189">
        <f t="shared" si="324"/>
        <v>221322.65</v>
      </c>
      <c r="L3306" s="189"/>
      <c r="M3306" s="138"/>
      <c r="N3306" s="138"/>
      <c r="O3306" s="138"/>
      <c r="S3306" s="72"/>
      <c r="T3306" s="72"/>
      <c r="U3306" s="72"/>
      <c r="V3306" s="72"/>
    </row>
    <row r="3307" spans="1:22" s="63" customFormat="1" ht="22.5" x14ac:dyDescent="0.25">
      <c r="A3307" s="87">
        <v>29.3</v>
      </c>
      <c r="B3307" s="81" t="s">
        <v>100</v>
      </c>
      <c r="C3307" s="80">
        <v>17.2</v>
      </c>
      <c r="D3307" s="131" t="s">
        <v>2964</v>
      </c>
      <c r="E3307" s="83" t="s">
        <v>2965</v>
      </c>
      <c r="F3307" s="81" t="s">
        <v>205</v>
      </c>
      <c r="G3307" s="87">
        <v>1.55</v>
      </c>
      <c r="H3307" s="85"/>
      <c r="I3307" s="86">
        <v>2234.3000000000002</v>
      </c>
      <c r="J3307" s="185">
        <f t="shared" si="323"/>
        <v>1641.27</v>
      </c>
      <c r="K3307" s="189">
        <f t="shared" si="324"/>
        <v>2543.9699999999998</v>
      </c>
      <c r="L3307" s="189"/>
      <c r="M3307" s="138"/>
      <c r="N3307" s="138"/>
      <c r="O3307" s="138"/>
      <c r="S3307" s="72"/>
      <c r="T3307" s="72"/>
      <c r="U3307" s="72"/>
      <c r="V3307" s="72"/>
    </row>
    <row r="3308" spans="1:22" s="63" customFormat="1" ht="22.5" x14ac:dyDescent="0.25">
      <c r="A3308" s="87">
        <v>29.31</v>
      </c>
      <c r="B3308" s="81" t="s">
        <v>100</v>
      </c>
      <c r="C3308" s="82">
        <v>18</v>
      </c>
      <c r="D3308" s="131" t="s">
        <v>2966</v>
      </c>
      <c r="E3308" s="83" t="s">
        <v>4079</v>
      </c>
      <c r="F3308" s="81" t="s">
        <v>207</v>
      </c>
      <c r="G3308" s="87">
        <v>8.0399999999999991</v>
      </c>
      <c r="H3308" s="85"/>
      <c r="I3308" s="86">
        <v>18394.28</v>
      </c>
      <c r="J3308" s="185">
        <f t="shared" si="323"/>
        <v>2604.94</v>
      </c>
      <c r="K3308" s="189">
        <f t="shared" si="324"/>
        <v>20943.72</v>
      </c>
      <c r="L3308" s="189"/>
      <c r="M3308" s="138"/>
      <c r="N3308" s="138"/>
      <c r="O3308" s="138"/>
      <c r="S3308" s="72"/>
      <c r="T3308" s="72"/>
      <c r="U3308" s="72"/>
      <c r="V3308" s="72"/>
    </row>
    <row r="3309" spans="1:22" s="63" customFormat="1" ht="22.5" x14ac:dyDescent="0.25">
      <c r="A3309" s="87">
        <v>29.32</v>
      </c>
      <c r="B3309" s="81" t="s">
        <v>100</v>
      </c>
      <c r="C3309" s="80">
        <v>18.100000000000001</v>
      </c>
      <c r="D3309" s="131" t="s">
        <v>322</v>
      </c>
      <c r="E3309" s="83" t="s">
        <v>323</v>
      </c>
      <c r="F3309" s="81" t="s">
        <v>205</v>
      </c>
      <c r="G3309" s="80">
        <v>35.700000000000003</v>
      </c>
      <c r="H3309" s="85"/>
      <c r="I3309" s="86">
        <v>50158.239999999998</v>
      </c>
      <c r="J3309" s="185">
        <f t="shared" si="323"/>
        <v>1599.72</v>
      </c>
      <c r="K3309" s="189">
        <f t="shared" si="324"/>
        <v>57110</v>
      </c>
      <c r="L3309" s="189"/>
      <c r="M3309" s="138"/>
      <c r="N3309" s="138"/>
      <c r="O3309" s="138"/>
      <c r="S3309" s="72"/>
      <c r="T3309" s="72"/>
      <c r="U3309" s="72"/>
      <c r="V3309" s="72"/>
    </row>
    <row r="3310" spans="1:22" s="63" customFormat="1" ht="22.5" x14ac:dyDescent="0.25">
      <c r="A3310" s="87">
        <v>29.33</v>
      </c>
      <c r="B3310" s="81" t="s">
        <v>100</v>
      </c>
      <c r="C3310" s="80">
        <v>18.2</v>
      </c>
      <c r="D3310" s="131" t="s">
        <v>2964</v>
      </c>
      <c r="E3310" s="83" t="s">
        <v>2965</v>
      </c>
      <c r="F3310" s="81" t="s">
        <v>205</v>
      </c>
      <c r="G3310" s="87">
        <v>0.48</v>
      </c>
      <c r="H3310" s="85"/>
      <c r="I3310" s="86">
        <v>691.93</v>
      </c>
      <c r="J3310" s="185">
        <f t="shared" si="323"/>
        <v>1641.32</v>
      </c>
      <c r="K3310" s="189">
        <f t="shared" si="324"/>
        <v>787.83</v>
      </c>
      <c r="L3310" s="189"/>
      <c r="M3310" s="138"/>
      <c r="N3310" s="138"/>
      <c r="O3310" s="138"/>
      <c r="S3310" s="72"/>
      <c r="T3310" s="72"/>
      <c r="U3310" s="72"/>
      <c r="V3310" s="72"/>
    </row>
    <row r="3311" spans="1:22" s="63" customFormat="1" ht="15" x14ac:dyDescent="0.25">
      <c r="A3311" s="87">
        <v>29.34</v>
      </c>
      <c r="B3311" s="81" t="s">
        <v>100</v>
      </c>
      <c r="C3311" s="82">
        <v>19</v>
      </c>
      <c r="D3311" s="131" t="s">
        <v>2967</v>
      </c>
      <c r="E3311" s="83" t="s">
        <v>2968</v>
      </c>
      <c r="F3311" s="81" t="s">
        <v>207</v>
      </c>
      <c r="G3311" s="87">
        <v>8.0399999999999991</v>
      </c>
      <c r="H3311" s="85"/>
      <c r="I3311" s="86">
        <v>514555.36</v>
      </c>
      <c r="J3311" s="185">
        <f t="shared" si="323"/>
        <v>72869.740000000005</v>
      </c>
      <c r="K3311" s="189">
        <f t="shared" si="324"/>
        <v>585872.71</v>
      </c>
      <c r="L3311" s="189"/>
      <c r="M3311" s="138"/>
      <c r="N3311" s="138"/>
      <c r="O3311" s="138"/>
      <c r="S3311" s="72"/>
      <c r="T3311" s="72"/>
      <c r="U3311" s="72"/>
      <c r="V3311" s="72"/>
    </row>
    <row r="3312" spans="1:22" s="63" customFormat="1" ht="22.5" x14ac:dyDescent="0.25">
      <c r="A3312" s="87">
        <v>29.35</v>
      </c>
      <c r="B3312" s="81" t="s">
        <v>100</v>
      </c>
      <c r="C3312" s="80">
        <v>19.100000000000001</v>
      </c>
      <c r="D3312" s="131" t="s">
        <v>2969</v>
      </c>
      <c r="E3312" s="83" t="s">
        <v>2970</v>
      </c>
      <c r="F3312" s="81" t="s">
        <v>370</v>
      </c>
      <c r="G3312" s="87">
        <v>794.25</v>
      </c>
      <c r="H3312" s="85"/>
      <c r="I3312" s="86">
        <v>737455.41</v>
      </c>
      <c r="J3312" s="185">
        <f t="shared" si="323"/>
        <v>1057.18</v>
      </c>
      <c r="K3312" s="189">
        <f t="shared" si="324"/>
        <v>839665.22</v>
      </c>
      <c r="L3312" s="189"/>
      <c r="M3312" s="138"/>
      <c r="N3312" s="138"/>
      <c r="O3312" s="138"/>
      <c r="S3312" s="72"/>
      <c r="T3312" s="72"/>
      <c r="U3312" s="72"/>
      <c r="V3312" s="72"/>
    </row>
    <row r="3313" spans="1:22" s="63" customFormat="1" ht="15" x14ac:dyDescent="0.25">
      <c r="A3313" s="87">
        <v>29.36</v>
      </c>
      <c r="B3313" s="81" t="s">
        <v>100</v>
      </c>
      <c r="C3313" s="80">
        <v>19.2</v>
      </c>
      <c r="D3313" s="131" t="s">
        <v>2971</v>
      </c>
      <c r="E3313" s="83" t="s">
        <v>4080</v>
      </c>
      <c r="F3313" s="81" t="s">
        <v>219</v>
      </c>
      <c r="G3313" s="82">
        <v>18</v>
      </c>
      <c r="H3313" s="85"/>
      <c r="I3313" s="86">
        <v>13306.77</v>
      </c>
      <c r="J3313" s="185">
        <f t="shared" si="323"/>
        <v>841.73</v>
      </c>
      <c r="K3313" s="189">
        <f t="shared" si="324"/>
        <v>15151.14</v>
      </c>
      <c r="L3313" s="189"/>
      <c r="M3313" s="138"/>
      <c r="N3313" s="138"/>
      <c r="O3313" s="138"/>
      <c r="S3313" s="72"/>
      <c r="T3313" s="72"/>
      <c r="U3313" s="72"/>
      <c r="V3313" s="72"/>
    </row>
    <row r="3314" spans="1:22" s="63" customFormat="1" ht="15" x14ac:dyDescent="0.25">
      <c r="A3314" s="87">
        <v>29.37</v>
      </c>
      <c r="B3314" s="81" t="s">
        <v>100</v>
      </c>
      <c r="C3314" s="80">
        <v>19.3</v>
      </c>
      <c r="D3314" s="131" t="s">
        <v>2971</v>
      </c>
      <c r="E3314" s="83" t="s">
        <v>4081</v>
      </c>
      <c r="F3314" s="81" t="s">
        <v>219</v>
      </c>
      <c r="G3314" s="82">
        <v>12</v>
      </c>
      <c r="H3314" s="85"/>
      <c r="I3314" s="86">
        <v>8871.2099999999991</v>
      </c>
      <c r="J3314" s="185">
        <f t="shared" si="323"/>
        <v>841.73</v>
      </c>
      <c r="K3314" s="189">
        <f t="shared" si="324"/>
        <v>10100.76</v>
      </c>
      <c r="L3314" s="189"/>
      <c r="M3314" s="138"/>
      <c r="N3314" s="138"/>
      <c r="O3314" s="138"/>
      <c r="S3314" s="72"/>
      <c r="T3314" s="72"/>
      <c r="U3314" s="72"/>
      <c r="V3314" s="72"/>
    </row>
    <row r="3315" spans="1:22" s="63" customFormat="1" ht="15" x14ac:dyDescent="0.25">
      <c r="A3315" s="87">
        <v>29.38</v>
      </c>
      <c r="B3315" s="81" t="s">
        <v>100</v>
      </c>
      <c r="C3315" s="80">
        <v>19.399999999999999</v>
      </c>
      <c r="D3315" s="131" t="s">
        <v>2971</v>
      </c>
      <c r="E3315" s="83" t="s">
        <v>4082</v>
      </c>
      <c r="F3315" s="81" t="s">
        <v>219</v>
      </c>
      <c r="G3315" s="82">
        <v>9</v>
      </c>
      <c r="H3315" s="85"/>
      <c r="I3315" s="86">
        <v>6653.43</v>
      </c>
      <c r="J3315" s="185">
        <f t="shared" si="323"/>
        <v>841.73</v>
      </c>
      <c r="K3315" s="189">
        <f t="shared" si="324"/>
        <v>7575.57</v>
      </c>
      <c r="L3315" s="189"/>
      <c r="M3315" s="138"/>
      <c r="N3315" s="138"/>
      <c r="O3315" s="138"/>
      <c r="S3315" s="72"/>
      <c r="T3315" s="72"/>
      <c r="U3315" s="72"/>
      <c r="V3315" s="72"/>
    </row>
    <row r="3316" spans="1:22" s="128" customFormat="1" ht="12.75" x14ac:dyDescent="0.25">
      <c r="A3316" s="237"/>
      <c r="B3316" s="125"/>
      <c r="C3316" s="236"/>
      <c r="D3316" s="77"/>
      <c r="E3316" s="126" t="s">
        <v>3411</v>
      </c>
      <c r="F3316" s="125"/>
      <c r="G3316" s="76"/>
      <c r="H3316" s="127"/>
      <c r="I3316" s="78"/>
      <c r="J3316" s="238"/>
      <c r="K3316" s="239"/>
      <c r="L3316" s="239"/>
      <c r="M3316" s="79"/>
      <c r="N3316" s="79"/>
      <c r="O3316" s="79"/>
      <c r="S3316" s="129"/>
      <c r="T3316" s="129"/>
      <c r="U3316" s="129"/>
      <c r="V3316" s="129"/>
    </row>
    <row r="3317" spans="1:22" s="63" customFormat="1" ht="15" x14ac:dyDescent="0.25">
      <c r="A3317" s="87">
        <v>29.39</v>
      </c>
      <c r="B3317" s="81" t="s">
        <v>100</v>
      </c>
      <c r="C3317" s="82">
        <v>23</v>
      </c>
      <c r="D3317" s="131" t="s">
        <v>2972</v>
      </c>
      <c r="E3317" s="83" t="s">
        <v>2973</v>
      </c>
      <c r="F3317" s="81" t="s">
        <v>207</v>
      </c>
      <c r="G3317" s="80">
        <v>17.399999999999999</v>
      </c>
      <c r="H3317" s="85"/>
      <c r="I3317" s="86">
        <v>889468.76</v>
      </c>
      <c r="J3317" s="185">
        <f>ROUND($I3317/$G3317*$N$11,2)</f>
        <v>58203.97</v>
      </c>
      <c r="K3317" s="189">
        <f>ROUND(G3317*J3317,2)</f>
        <v>1012749.08</v>
      </c>
      <c r="L3317" s="189"/>
      <c r="M3317" s="138"/>
      <c r="N3317" s="138"/>
      <c r="O3317" s="138"/>
      <c r="S3317" s="72"/>
      <c r="T3317" s="72"/>
      <c r="U3317" s="72"/>
      <c r="V3317" s="72"/>
    </row>
    <row r="3318" spans="1:22" s="63" customFormat="1" ht="22.5" x14ac:dyDescent="0.25">
      <c r="A3318" s="87">
        <v>29.4</v>
      </c>
      <c r="B3318" s="81" t="s">
        <v>100</v>
      </c>
      <c r="C3318" s="80">
        <v>23.1</v>
      </c>
      <c r="D3318" s="131" t="s">
        <v>2974</v>
      </c>
      <c r="E3318" s="83" t="s">
        <v>2975</v>
      </c>
      <c r="F3318" s="81" t="s">
        <v>226</v>
      </c>
      <c r="G3318" s="87">
        <v>-0.87</v>
      </c>
      <c r="H3318" s="85"/>
      <c r="I3318" s="86">
        <v>-63177.29</v>
      </c>
      <c r="J3318" s="185">
        <f>ROUND($I3318/$G3318*$N$11,2)</f>
        <v>82682.37</v>
      </c>
      <c r="K3318" s="189">
        <f>ROUND(G3318*J3318,2)</f>
        <v>-71933.66</v>
      </c>
      <c r="L3318" s="189"/>
      <c r="M3318" s="138"/>
      <c r="N3318" s="138"/>
      <c r="O3318" s="138"/>
      <c r="S3318" s="72"/>
      <c r="T3318" s="72"/>
      <c r="U3318" s="72"/>
      <c r="V3318" s="72"/>
    </row>
    <row r="3319" spans="1:22" s="63" customFormat="1" ht="22.5" x14ac:dyDescent="0.25">
      <c r="A3319" s="87">
        <v>29.41</v>
      </c>
      <c r="B3319" s="81" t="s">
        <v>100</v>
      </c>
      <c r="C3319" s="80">
        <v>23.2</v>
      </c>
      <c r="D3319" s="131" t="s">
        <v>2976</v>
      </c>
      <c r="E3319" s="83" t="s">
        <v>4083</v>
      </c>
      <c r="F3319" s="81" t="s">
        <v>210</v>
      </c>
      <c r="G3319" s="82">
        <v>1740</v>
      </c>
      <c r="H3319" s="85"/>
      <c r="I3319" s="86">
        <v>701454.2</v>
      </c>
      <c r="J3319" s="185">
        <f>ROUND($I3319/$G3319*$N$11,2)</f>
        <v>459.01</v>
      </c>
      <c r="K3319" s="189">
        <f>ROUND(G3319*J3319,2)</f>
        <v>798677.4</v>
      </c>
      <c r="L3319" s="189"/>
      <c r="M3319" s="138"/>
      <c r="N3319" s="138"/>
      <c r="O3319" s="138"/>
      <c r="S3319" s="72"/>
      <c r="T3319" s="72"/>
      <c r="U3319" s="72"/>
      <c r="V3319" s="72"/>
    </row>
    <row r="3320" spans="1:22" s="63" customFormat="1" ht="15" x14ac:dyDescent="0.25">
      <c r="A3320" s="87">
        <v>29.42</v>
      </c>
      <c r="B3320" s="81" t="s">
        <v>100</v>
      </c>
      <c r="C3320" s="80">
        <v>23.3</v>
      </c>
      <c r="D3320" s="131" t="s">
        <v>2977</v>
      </c>
      <c r="E3320" s="83" t="s">
        <v>4084</v>
      </c>
      <c r="F3320" s="81" t="s">
        <v>370</v>
      </c>
      <c r="G3320" s="82">
        <v>1775</v>
      </c>
      <c r="H3320" s="85"/>
      <c r="I3320" s="86">
        <v>2832074.6</v>
      </c>
      <c r="J3320" s="185">
        <f>ROUND($I3320/$G3320*$N$11,2)</f>
        <v>1816.68</v>
      </c>
      <c r="K3320" s="189">
        <f>ROUND(G3320*J3320,2)</f>
        <v>3224607</v>
      </c>
      <c r="L3320" s="189"/>
      <c r="M3320" s="138"/>
      <c r="N3320" s="138"/>
      <c r="O3320" s="138"/>
      <c r="S3320" s="72"/>
      <c r="T3320" s="72"/>
      <c r="U3320" s="72"/>
      <c r="V3320" s="72"/>
    </row>
    <row r="3321" spans="1:22" s="128" customFormat="1" ht="12.75" x14ac:dyDescent="0.25">
      <c r="A3321" s="237"/>
      <c r="B3321" s="125"/>
      <c r="C3321" s="236"/>
      <c r="D3321" s="77"/>
      <c r="E3321" s="126" t="s">
        <v>3412</v>
      </c>
      <c r="F3321" s="125"/>
      <c r="G3321" s="76"/>
      <c r="H3321" s="127"/>
      <c r="I3321" s="78"/>
      <c r="J3321" s="238"/>
      <c r="K3321" s="239"/>
      <c r="L3321" s="239"/>
      <c r="M3321" s="79"/>
      <c r="N3321" s="79"/>
      <c r="O3321" s="79"/>
      <c r="S3321" s="129"/>
      <c r="T3321" s="129"/>
      <c r="U3321" s="129"/>
      <c r="V3321" s="129"/>
    </row>
    <row r="3322" spans="1:22" s="63" customFormat="1" ht="15" x14ac:dyDescent="0.25">
      <c r="A3322" s="87">
        <v>29.43</v>
      </c>
      <c r="B3322" s="81" t="s">
        <v>100</v>
      </c>
      <c r="C3322" s="82">
        <v>24</v>
      </c>
      <c r="D3322" s="131" t="s">
        <v>2978</v>
      </c>
      <c r="E3322" s="83" t="s">
        <v>2979</v>
      </c>
      <c r="F3322" s="81" t="s">
        <v>354</v>
      </c>
      <c r="G3322" s="80">
        <v>7.5</v>
      </c>
      <c r="H3322" s="85"/>
      <c r="I3322" s="86">
        <v>880412.39</v>
      </c>
      <c r="J3322" s="185">
        <f t="shared" ref="J3322:J3329" si="325">ROUND($I3322/$G3322*$N$11,2)</f>
        <v>133658.34</v>
      </c>
      <c r="K3322" s="189">
        <f t="shared" ref="K3322:K3329" si="326">ROUND(G3322*J3322,2)</f>
        <v>1002437.55</v>
      </c>
      <c r="L3322" s="189"/>
      <c r="M3322" s="138"/>
      <c r="N3322" s="138"/>
      <c r="O3322" s="138"/>
      <c r="S3322" s="72"/>
      <c r="T3322" s="72"/>
      <c r="U3322" s="72"/>
      <c r="V3322" s="72"/>
    </row>
    <row r="3323" spans="1:22" s="63" customFormat="1" ht="22.5" x14ac:dyDescent="0.25">
      <c r="A3323" s="87">
        <v>29.44</v>
      </c>
      <c r="B3323" s="81" t="s">
        <v>100</v>
      </c>
      <c r="C3323" s="80">
        <v>24.1</v>
      </c>
      <c r="D3323" s="131" t="s">
        <v>2980</v>
      </c>
      <c r="E3323" s="83" t="s">
        <v>2981</v>
      </c>
      <c r="F3323" s="81" t="s">
        <v>219</v>
      </c>
      <c r="G3323" s="82">
        <v>750</v>
      </c>
      <c r="H3323" s="85"/>
      <c r="I3323" s="86">
        <v>420379.2</v>
      </c>
      <c r="J3323" s="185">
        <f t="shared" si="325"/>
        <v>638.19000000000005</v>
      </c>
      <c r="K3323" s="189">
        <f t="shared" si="326"/>
        <v>478642.5</v>
      </c>
      <c r="L3323" s="189"/>
      <c r="M3323" s="138"/>
      <c r="N3323" s="138"/>
      <c r="O3323" s="138"/>
      <c r="S3323" s="72"/>
      <c r="T3323" s="72"/>
      <c r="U3323" s="72"/>
      <c r="V3323" s="72"/>
    </row>
    <row r="3324" spans="1:22" s="63" customFormat="1" ht="15" x14ac:dyDescent="0.25">
      <c r="A3324" s="87">
        <v>29.45</v>
      </c>
      <c r="B3324" s="81" t="s">
        <v>100</v>
      </c>
      <c r="C3324" s="82">
        <v>25</v>
      </c>
      <c r="D3324" s="131" t="s">
        <v>2978</v>
      </c>
      <c r="E3324" s="83" t="s">
        <v>2979</v>
      </c>
      <c r="F3324" s="81" t="s">
        <v>354</v>
      </c>
      <c r="G3324" s="87">
        <v>1.48</v>
      </c>
      <c r="H3324" s="85"/>
      <c r="I3324" s="86">
        <v>173734.29</v>
      </c>
      <c r="J3324" s="185">
        <f t="shared" si="325"/>
        <v>133658.01999999999</v>
      </c>
      <c r="K3324" s="189">
        <f t="shared" si="326"/>
        <v>197813.87</v>
      </c>
      <c r="L3324" s="189"/>
      <c r="M3324" s="138"/>
      <c r="N3324" s="138"/>
      <c r="O3324" s="138"/>
      <c r="S3324" s="72"/>
      <c r="T3324" s="72"/>
      <c r="U3324" s="72"/>
      <c r="V3324" s="72"/>
    </row>
    <row r="3325" spans="1:22" s="63" customFormat="1" ht="22.5" x14ac:dyDescent="0.25">
      <c r="A3325" s="87">
        <v>29.46</v>
      </c>
      <c r="B3325" s="81" t="s">
        <v>100</v>
      </c>
      <c r="C3325" s="80">
        <v>25.1</v>
      </c>
      <c r="D3325" s="131" t="s">
        <v>2853</v>
      </c>
      <c r="E3325" s="83" t="s">
        <v>2854</v>
      </c>
      <c r="F3325" s="81" t="s">
        <v>205</v>
      </c>
      <c r="G3325" s="88">
        <v>-8.8800000000000004E-2</v>
      </c>
      <c r="H3325" s="85"/>
      <c r="I3325" s="86">
        <v>-630.12</v>
      </c>
      <c r="J3325" s="185">
        <f t="shared" si="325"/>
        <v>8079.44</v>
      </c>
      <c r="K3325" s="189">
        <f t="shared" si="326"/>
        <v>-717.45</v>
      </c>
      <c r="L3325" s="189"/>
      <c r="M3325" s="138"/>
      <c r="N3325" s="138"/>
      <c r="O3325" s="138"/>
      <c r="S3325" s="72"/>
      <c r="T3325" s="72"/>
      <c r="U3325" s="72"/>
      <c r="V3325" s="72"/>
    </row>
    <row r="3326" spans="1:22" s="63" customFormat="1" ht="22.5" x14ac:dyDescent="0.25">
      <c r="A3326" s="87">
        <v>29.47</v>
      </c>
      <c r="B3326" s="81" t="s">
        <v>100</v>
      </c>
      <c r="C3326" s="80">
        <v>25.2</v>
      </c>
      <c r="D3326" s="131" t="s">
        <v>2853</v>
      </c>
      <c r="E3326" s="83" t="s">
        <v>2854</v>
      </c>
      <c r="F3326" s="81" t="s">
        <v>205</v>
      </c>
      <c r="G3326" s="88">
        <v>8.8800000000000004E-2</v>
      </c>
      <c r="H3326" s="85"/>
      <c r="I3326" s="86">
        <v>207.97</v>
      </c>
      <c r="J3326" s="185">
        <f t="shared" si="325"/>
        <v>2666.61</v>
      </c>
      <c r="K3326" s="189">
        <f t="shared" si="326"/>
        <v>236.79</v>
      </c>
      <c r="L3326" s="189"/>
      <c r="M3326" s="138"/>
      <c r="N3326" s="138"/>
      <c r="O3326" s="138"/>
      <c r="S3326" s="72"/>
      <c r="T3326" s="72"/>
      <c r="U3326" s="72"/>
      <c r="V3326" s="72"/>
    </row>
    <row r="3327" spans="1:22" s="63" customFormat="1" ht="22.5" x14ac:dyDescent="0.25">
      <c r="A3327" s="87">
        <v>29.48</v>
      </c>
      <c r="B3327" s="81" t="s">
        <v>100</v>
      </c>
      <c r="C3327" s="80">
        <v>25.3</v>
      </c>
      <c r="D3327" s="131" t="s">
        <v>2982</v>
      </c>
      <c r="E3327" s="83" t="s">
        <v>2983</v>
      </c>
      <c r="F3327" s="81" t="s">
        <v>205</v>
      </c>
      <c r="G3327" s="84">
        <v>-13.394</v>
      </c>
      <c r="H3327" s="85"/>
      <c r="I3327" s="86">
        <v>-80207.53</v>
      </c>
      <c r="J3327" s="185">
        <f t="shared" si="325"/>
        <v>6818.3</v>
      </c>
      <c r="K3327" s="189">
        <f t="shared" si="326"/>
        <v>-91324.31</v>
      </c>
      <c r="L3327" s="189"/>
      <c r="M3327" s="138"/>
      <c r="N3327" s="138"/>
      <c r="O3327" s="138"/>
      <c r="S3327" s="72"/>
      <c r="T3327" s="72"/>
      <c r="U3327" s="72"/>
      <c r="V3327" s="72"/>
    </row>
    <row r="3328" spans="1:22" s="63" customFormat="1" ht="22.5" x14ac:dyDescent="0.25">
      <c r="A3328" s="87">
        <v>29.49</v>
      </c>
      <c r="B3328" s="81" t="s">
        <v>100</v>
      </c>
      <c r="C3328" s="80">
        <v>25.4</v>
      </c>
      <c r="D3328" s="131" t="s">
        <v>2982</v>
      </c>
      <c r="E3328" s="83" t="s">
        <v>2983</v>
      </c>
      <c r="F3328" s="81" t="s">
        <v>205</v>
      </c>
      <c r="G3328" s="84">
        <v>13.394</v>
      </c>
      <c r="H3328" s="85"/>
      <c r="I3328" s="86">
        <v>68978.42</v>
      </c>
      <c r="J3328" s="185">
        <f t="shared" si="325"/>
        <v>5863.73</v>
      </c>
      <c r="K3328" s="189">
        <f t="shared" si="326"/>
        <v>78538.8</v>
      </c>
      <c r="L3328" s="189"/>
      <c r="M3328" s="138"/>
      <c r="N3328" s="138"/>
      <c r="O3328" s="138"/>
      <c r="S3328" s="72"/>
      <c r="T3328" s="72"/>
      <c r="U3328" s="72"/>
      <c r="V3328" s="72"/>
    </row>
    <row r="3329" spans="1:22" s="63" customFormat="1" ht="22.5" x14ac:dyDescent="0.25">
      <c r="A3329" s="87">
        <v>29.5</v>
      </c>
      <c r="B3329" s="81" t="s">
        <v>100</v>
      </c>
      <c r="C3329" s="80">
        <v>25.5</v>
      </c>
      <c r="D3329" s="131" t="s">
        <v>2984</v>
      </c>
      <c r="E3329" s="83" t="s">
        <v>2985</v>
      </c>
      <c r="F3329" s="81" t="s">
        <v>219</v>
      </c>
      <c r="G3329" s="82">
        <v>148</v>
      </c>
      <c r="H3329" s="85"/>
      <c r="I3329" s="86">
        <v>29386.41</v>
      </c>
      <c r="J3329" s="185">
        <f t="shared" si="325"/>
        <v>226.08</v>
      </c>
      <c r="K3329" s="189">
        <f t="shared" si="326"/>
        <v>33459.839999999997</v>
      </c>
      <c r="L3329" s="189"/>
      <c r="M3329" s="138"/>
      <c r="N3329" s="138"/>
      <c r="O3329" s="138"/>
      <c r="S3329" s="72"/>
      <c r="T3329" s="72"/>
      <c r="U3329" s="72"/>
      <c r="V3329" s="72"/>
    </row>
    <row r="3330" spans="1:22" s="128" customFormat="1" ht="12.75" x14ac:dyDescent="0.25">
      <c r="A3330" s="237"/>
      <c r="B3330" s="125"/>
      <c r="C3330" s="236"/>
      <c r="D3330" s="77"/>
      <c r="E3330" s="126" t="s">
        <v>3413</v>
      </c>
      <c r="F3330" s="125"/>
      <c r="G3330" s="76"/>
      <c r="H3330" s="127"/>
      <c r="I3330" s="78"/>
      <c r="J3330" s="238"/>
      <c r="K3330" s="239"/>
      <c r="L3330" s="239"/>
      <c r="M3330" s="79"/>
      <c r="N3330" s="79"/>
      <c r="O3330" s="79"/>
      <c r="S3330" s="129"/>
      <c r="T3330" s="129"/>
      <c r="U3330" s="129"/>
      <c r="V3330" s="129"/>
    </row>
    <row r="3331" spans="1:22" s="128" customFormat="1" ht="12.75" x14ac:dyDescent="0.25">
      <c r="A3331" s="237"/>
      <c r="B3331" s="125"/>
      <c r="C3331" s="236"/>
      <c r="D3331" s="77"/>
      <c r="E3331" s="126" t="s">
        <v>3414</v>
      </c>
      <c r="F3331" s="125"/>
      <c r="G3331" s="76"/>
      <c r="H3331" s="127"/>
      <c r="I3331" s="78"/>
      <c r="J3331" s="238"/>
      <c r="K3331" s="239"/>
      <c r="L3331" s="239"/>
      <c r="M3331" s="79"/>
      <c r="N3331" s="79"/>
      <c r="O3331" s="79"/>
      <c r="S3331" s="129"/>
      <c r="T3331" s="129"/>
      <c r="U3331" s="129"/>
      <c r="V3331" s="129"/>
    </row>
    <row r="3332" spans="1:22" s="63" customFormat="1" ht="22.5" x14ac:dyDescent="0.25">
      <c r="A3332" s="87">
        <v>29.51</v>
      </c>
      <c r="B3332" s="81" t="s">
        <v>100</v>
      </c>
      <c r="C3332" s="82">
        <v>26</v>
      </c>
      <c r="D3332" s="131" t="s">
        <v>2986</v>
      </c>
      <c r="E3332" s="83" t="s">
        <v>2987</v>
      </c>
      <c r="F3332" s="81" t="s">
        <v>207</v>
      </c>
      <c r="G3332" s="87">
        <v>74.680000000000007</v>
      </c>
      <c r="H3332" s="85"/>
      <c r="I3332" s="86">
        <v>4011452.8</v>
      </c>
      <c r="J3332" s="185">
        <f>ROUND($I3332/$G3332*$N$11,2)</f>
        <v>61160.15</v>
      </c>
      <c r="K3332" s="189">
        <f>ROUND(G3332*J3332,2)</f>
        <v>4567440</v>
      </c>
      <c r="L3332" s="189"/>
      <c r="M3332" s="138"/>
      <c r="N3332" s="138"/>
      <c r="O3332" s="138"/>
      <c r="S3332" s="72"/>
      <c r="T3332" s="72"/>
      <c r="U3332" s="72"/>
      <c r="V3332" s="72"/>
    </row>
    <row r="3333" spans="1:22" s="63" customFormat="1" ht="22.5" x14ac:dyDescent="0.25">
      <c r="A3333" s="87">
        <v>29.52</v>
      </c>
      <c r="B3333" s="81" t="s">
        <v>100</v>
      </c>
      <c r="C3333" s="82">
        <v>27</v>
      </c>
      <c r="D3333" s="131" t="s">
        <v>2988</v>
      </c>
      <c r="E3333" s="83" t="s">
        <v>4085</v>
      </c>
      <c r="F3333" s="81" t="s">
        <v>207</v>
      </c>
      <c r="G3333" s="87">
        <v>-74.680000000000007</v>
      </c>
      <c r="H3333" s="85"/>
      <c r="I3333" s="86">
        <v>-910467.62</v>
      </c>
      <c r="J3333" s="185">
        <f>ROUND($I3333/$G3333*$N$11,2)</f>
        <v>13881.34</v>
      </c>
      <c r="K3333" s="189">
        <f>ROUND(G3333*J3333,2)</f>
        <v>-1036658.47</v>
      </c>
      <c r="L3333" s="189"/>
      <c r="M3333" s="138"/>
      <c r="N3333" s="138"/>
      <c r="O3333" s="138"/>
      <c r="S3333" s="72"/>
      <c r="T3333" s="72"/>
      <c r="U3333" s="72"/>
      <c r="V3333" s="72"/>
    </row>
    <row r="3334" spans="1:22" s="63" customFormat="1" ht="15" x14ac:dyDescent="0.25">
      <c r="A3334" s="87">
        <v>29.53</v>
      </c>
      <c r="B3334" s="81" t="s">
        <v>100</v>
      </c>
      <c r="C3334" s="82">
        <v>28</v>
      </c>
      <c r="D3334" s="131" t="s">
        <v>2989</v>
      </c>
      <c r="E3334" s="83" t="s">
        <v>2990</v>
      </c>
      <c r="F3334" s="81" t="s">
        <v>207</v>
      </c>
      <c r="G3334" s="87">
        <v>74.680000000000007</v>
      </c>
      <c r="H3334" s="85"/>
      <c r="I3334" s="86">
        <v>964849.15</v>
      </c>
      <c r="J3334" s="185">
        <f>ROUND($I3334/$G3334*$N$11,2)</f>
        <v>14710.46</v>
      </c>
      <c r="K3334" s="189">
        <f>ROUND(G3334*J3334,2)</f>
        <v>1098577.1499999999</v>
      </c>
      <c r="L3334" s="189"/>
      <c r="M3334" s="138"/>
      <c r="N3334" s="138"/>
      <c r="O3334" s="138"/>
      <c r="S3334" s="72"/>
      <c r="T3334" s="72"/>
      <c r="U3334" s="72"/>
      <c r="V3334" s="72"/>
    </row>
    <row r="3335" spans="1:22" s="63" customFormat="1" ht="22.5" x14ac:dyDescent="0.25">
      <c r="A3335" s="87">
        <v>29.54</v>
      </c>
      <c r="B3335" s="81" t="s">
        <v>100</v>
      </c>
      <c r="C3335" s="80">
        <v>28.1</v>
      </c>
      <c r="D3335" s="131" t="s">
        <v>2939</v>
      </c>
      <c r="E3335" s="83" t="s">
        <v>2940</v>
      </c>
      <c r="F3335" s="81" t="s">
        <v>210</v>
      </c>
      <c r="G3335" s="87">
        <v>149.36000000000001</v>
      </c>
      <c r="H3335" s="85"/>
      <c r="I3335" s="86">
        <v>158932.54999999999</v>
      </c>
      <c r="J3335" s="185">
        <f>ROUND($I3335/$G3335*$N$11,2)</f>
        <v>1211.57</v>
      </c>
      <c r="K3335" s="189">
        <f>ROUND(G3335*J3335,2)</f>
        <v>180960.1</v>
      </c>
      <c r="L3335" s="189"/>
      <c r="M3335" s="138"/>
      <c r="N3335" s="138"/>
      <c r="O3335" s="138"/>
      <c r="S3335" s="72"/>
      <c r="T3335" s="72"/>
      <c r="U3335" s="72"/>
      <c r="V3335" s="72"/>
    </row>
    <row r="3336" spans="1:22" s="128" customFormat="1" ht="12.75" x14ac:dyDescent="0.25">
      <c r="A3336" s="237"/>
      <c r="B3336" s="125"/>
      <c r="C3336" s="236"/>
      <c r="D3336" s="77"/>
      <c r="E3336" s="126" t="s">
        <v>3415</v>
      </c>
      <c r="F3336" s="125"/>
      <c r="G3336" s="237"/>
      <c r="H3336" s="127"/>
      <c r="I3336" s="78"/>
      <c r="J3336" s="238"/>
      <c r="K3336" s="239"/>
      <c r="L3336" s="239"/>
      <c r="M3336" s="79"/>
      <c r="N3336" s="79"/>
      <c r="O3336" s="79"/>
      <c r="S3336" s="129"/>
      <c r="T3336" s="129"/>
      <c r="U3336" s="129"/>
      <c r="V3336" s="129"/>
    </row>
    <row r="3337" spans="1:22" s="63" customFormat="1" ht="33.75" x14ac:dyDescent="0.25">
      <c r="A3337" s="87">
        <v>29.55</v>
      </c>
      <c r="B3337" s="81" t="s">
        <v>100</v>
      </c>
      <c r="C3337" s="82">
        <v>29</v>
      </c>
      <c r="D3337" s="131" t="s">
        <v>2991</v>
      </c>
      <c r="E3337" s="83" t="s">
        <v>2992</v>
      </c>
      <c r="F3337" s="81" t="s">
        <v>566</v>
      </c>
      <c r="G3337" s="80">
        <v>4.7</v>
      </c>
      <c r="H3337" s="85"/>
      <c r="I3337" s="86">
        <v>245337.01</v>
      </c>
      <c r="J3337" s="185">
        <f t="shared" ref="J3337:J3346" si="327">ROUND($I3337/$G3337*$N$11,2)</f>
        <v>59434.2</v>
      </c>
      <c r="K3337" s="189">
        <f t="shared" ref="K3337:K3346" si="328">ROUND(G3337*J3337,2)</f>
        <v>279340.74</v>
      </c>
      <c r="L3337" s="189"/>
      <c r="M3337" s="138"/>
      <c r="N3337" s="138"/>
      <c r="O3337" s="138"/>
      <c r="S3337" s="72"/>
      <c r="T3337" s="72"/>
      <c r="U3337" s="72"/>
      <c r="V3337" s="72"/>
    </row>
    <row r="3338" spans="1:22" s="63" customFormat="1" ht="15" x14ac:dyDescent="0.25">
      <c r="A3338" s="87">
        <v>29.56</v>
      </c>
      <c r="B3338" s="81" t="s">
        <v>100</v>
      </c>
      <c r="C3338" s="82">
        <v>30</v>
      </c>
      <c r="D3338" s="131" t="s">
        <v>2993</v>
      </c>
      <c r="E3338" s="83" t="s">
        <v>2994</v>
      </c>
      <c r="F3338" s="81" t="s">
        <v>566</v>
      </c>
      <c r="G3338" s="80">
        <v>4.7</v>
      </c>
      <c r="H3338" s="85"/>
      <c r="I3338" s="86">
        <v>348725.49</v>
      </c>
      <c r="J3338" s="185">
        <f t="shared" si="327"/>
        <v>84480.6</v>
      </c>
      <c r="K3338" s="189">
        <f t="shared" si="328"/>
        <v>397058.82</v>
      </c>
      <c r="L3338" s="189"/>
      <c r="M3338" s="138"/>
      <c r="N3338" s="138"/>
      <c r="O3338" s="138"/>
      <c r="S3338" s="72"/>
      <c r="T3338" s="72"/>
      <c r="U3338" s="72"/>
      <c r="V3338" s="72"/>
    </row>
    <row r="3339" spans="1:22" s="63" customFormat="1" ht="22.5" x14ac:dyDescent="0.25">
      <c r="A3339" s="87">
        <v>29.57</v>
      </c>
      <c r="B3339" s="81" t="s">
        <v>100</v>
      </c>
      <c r="C3339" s="80">
        <v>30.1</v>
      </c>
      <c r="D3339" s="131" t="s">
        <v>2995</v>
      </c>
      <c r="E3339" s="83" t="s">
        <v>2996</v>
      </c>
      <c r="F3339" s="81" t="s">
        <v>219</v>
      </c>
      <c r="G3339" s="82">
        <v>47</v>
      </c>
      <c r="H3339" s="85"/>
      <c r="I3339" s="86">
        <v>370707.5</v>
      </c>
      <c r="J3339" s="185">
        <f t="shared" si="327"/>
        <v>8980.59</v>
      </c>
      <c r="K3339" s="189">
        <f t="shared" si="328"/>
        <v>422087.73</v>
      </c>
      <c r="L3339" s="189"/>
      <c r="M3339" s="138"/>
      <c r="N3339" s="138"/>
      <c r="O3339" s="138"/>
      <c r="S3339" s="72"/>
      <c r="T3339" s="72"/>
      <c r="U3339" s="72"/>
      <c r="V3339" s="72"/>
    </row>
    <row r="3340" spans="1:22" s="63" customFormat="1" ht="33.75" x14ac:dyDescent="0.25">
      <c r="A3340" s="87">
        <v>29.58</v>
      </c>
      <c r="B3340" s="81" t="s">
        <v>100</v>
      </c>
      <c r="C3340" s="82">
        <v>31</v>
      </c>
      <c r="D3340" s="131" t="s">
        <v>2997</v>
      </c>
      <c r="E3340" s="83" t="s">
        <v>2998</v>
      </c>
      <c r="F3340" s="81" t="s">
        <v>566</v>
      </c>
      <c r="G3340" s="82">
        <v>39</v>
      </c>
      <c r="H3340" s="85"/>
      <c r="I3340" s="86">
        <v>593290.48</v>
      </c>
      <c r="J3340" s="185">
        <f t="shared" si="327"/>
        <v>17321.04</v>
      </c>
      <c r="K3340" s="189">
        <f t="shared" si="328"/>
        <v>675520.56</v>
      </c>
      <c r="L3340" s="189"/>
      <c r="M3340" s="138"/>
      <c r="N3340" s="138"/>
      <c r="O3340" s="138"/>
      <c r="S3340" s="72"/>
      <c r="T3340" s="72"/>
      <c r="U3340" s="72"/>
      <c r="V3340" s="72"/>
    </row>
    <row r="3341" spans="1:22" s="63" customFormat="1" ht="15" x14ac:dyDescent="0.25">
      <c r="A3341" s="87">
        <v>29.59</v>
      </c>
      <c r="B3341" s="81" t="s">
        <v>100</v>
      </c>
      <c r="C3341" s="82">
        <v>32</v>
      </c>
      <c r="D3341" s="131" t="s">
        <v>2999</v>
      </c>
      <c r="E3341" s="83" t="s">
        <v>3000</v>
      </c>
      <c r="F3341" s="81" t="s">
        <v>566</v>
      </c>
      <c r="G3341" s="82">
        <v>39</v>
      </c>
      <c r="H3341" s="85"/>
      <c r="I3341" s="86">
        <v>1214731.82</v>
      </c>
      <c r="J3341" s="185">
        <f t="shared" si="327"/>
        <v>35463.94</v>
      </c>
      <c r="K3341" s="189">
        <f t="shared" si="328"/>
        <v>1383093.66</v>
      </c>
      <c r="L3341" s="189"/>
      <c r="M3341" s="138"/>
      <c r="N3341" s="138"/>
      <c r="O3341" s="138"/>
      <c r="S3341" s="72"/>
      <c r="T3341" s="72"/>
      <c r="U3341" s="72"/>
      <c r="V3341" s="72"/>
    </row>
    <row r="3342" spans="1:22" s="63" customFormat="1" ht="22.5" x14ac:dyDescent="0.25">
      <c r="A3342" s="87">
        <v>29.6</v>
      </c>
      <c r="B3342" s="81" t="s">
        <v>100</v>
      </c>
      <c r="C3342" s="80">
        <v>32.1</v>
      </c>
      <c r="D3342" s="131" t="s">
        <v>3001</v>
      </c>
      <c r="E3342" s="83" t="s">
        <v>3002</v>
      </c>
      <c r="F3342" s="81" t="s">
        <v>219</v>
      </c>
      <c r="G3342" s="82">
        <v>30</v>
      </c>
      <c r="H3342" s="85"/>
      <c r="I3342" s="86">
        <v>86990.26</v>
      </c>
      <c r="J3342" s="185">
        <f t="shared" si="327"/>
        <v>3301.57</v>
      </c>
      <c r="K3342" s="189">
        <f t="shared" si="328"/>
        <v>99047.1</v>
      </c>
      <c r="L3342" s="189"/>
      <c r="M3342" s="138"/>
      <c r="N3342" s="138"/>
      <c r="O3342" s="138"/>
      <c r="S3342" s="72"/>
      <c r="T3342" s="72"/>
      <c r="U3342" s="72"/>
      <c r="V3342" s="72"/>
    </row>
    <row r="3343" spans="1:22" s="63" customFormat="1" ht="22.5" x14ac:dyDescent="0.25">
      <c r="A3343" s="87">
        <v>29.61</v>
      </c>
      <c r="B3343" s="81" t="s">
        <v>100</v>
      </c>
      <c r="C3343" s="80">
        <v>32.200000000000003</v>
      </c>
      <c r="D3343" s="131" t="s">
        <v>3003</v>
      </c>
      <c r="E3343" s="83" t="s">
        <v>3004</v>
      </c>
      <c r="F3343" s="81" t="s">
        <v>219</v>
      </c>
      <c r="G3343" s="82">
        <v>90</v>
      </c>
      <c r="H3343" s="85"/>
      <c r="I3343" s="86">
        <v>7768.22</v>
      </c>
      <c r="J3343" s="185">
        <f t="shared" si="327"/>
        <v>98.28</v>
      </c>
      <c r="K3343" s="189">
        <f t="shared" si="328"/>
        <v>8845.2000000000007</v>
      </c>
      <c r="L3343" s="189"/>
      <c r="M3343" s="138"/>
      <c r="N3343" s="138"/>
      <c r="O3343" s="138"/>
      <c r="S3343" s="72"/>
      <c r="T3343" s="72"/>
      <c r="U3343" s="72"/>
      <c r="V3343" s="72"/>
    </row>
    <row r="3344" spans="1:22" s="63" customFormat="1" ht="22.5" x14ac:dyDescent="0.25">
      <c r="A3344" s="87">
        <v>29.62</v>
      </c>
      <c r="B3344" s="81" t="s">
        <v>100</v>
      </c>
      <c r="C3344" s="80">
        <v>32.299999999999997</v>
      </c>
      <c r="D3344" s="131" t="s">
        <v>3005</v>
      </c>
      <c r="E3344" s="83" t="s">
        <v>3006</v>
      </c>
      <c r="F3344" s="81" t="s">
        <v>219</v>
      </c>
      <c r="G3344" s="82">
        <v>90</v>
      </c>
      <c r="H3344" s="85"/>
      <c r="I3344" s="86">
        <v>11964.02</v>
      </c>
      <c r="J3344" s="185">
        <f t="shared" si="327"/>
        <v>151.36000000000001</v>
      </c>
      <c r="K3344" s="189">
        <f t="shared" si="328"/>
        <v>13622.4</v>
      </c>
      <c r="L3344" s="189"/>
      <c r="M3344" s="138"/>
      <c r="N3344" s="138"/>
      <c r="O3344" s="138"/>
      <c r="S3344" s="72"/>
      <c r="T3344" s="72"/>
      <c r="U3344" s="72"/>
      <c r="V3344" s="72"/>
    </row>
    <row r="3345" spans="1:22" s="63" customFormat="1" ht="22.5" x14ac:dyDescent="0.25">
      <c r="A3345" s="87">
        <v>29.63</v>
      </c>
      <c r="B3345" s="81" t="s">
        <v>100</v>
      </c>
      <c r="C3345" s="80">
        <v>32.4</v>
      </c>
      <c r="D3345" s="131" t="s">
        <v>3007</v>
      </c>
      <c r="E3345" s="83" t="s">
        <v>3008</v>
      </c>
      <c r="F3345" s="81" t="s">
        <v>219</v>
      </c>
      <c r="G3345" s="82">
        <v>90</v>
      </c>
      <c r="H3345" s="85"/>
      <c r="I3345" s="86">
        <v>9542.4500000000007</v>
      </c>
      <c r="J3345" s="185">
        <f t="shared" si="327"/>
        <v>120.72</v>
      </c>
      <c r="K3345" s="189">
        <f t="shared" si="328"/>
        <v>10864.8</v>
      </c>
      <c r="L3345" s="189"/>
      <c r="M3345" s="138"/>
      <c r="N3345" s="138"/>
      <c r="O3345" s="138"/>
      <c r="S3345" s="72"/>
      <c r="T3345" s="72"/>
      <c r="U3345" s="72"/>
      <c r="V3345" s="72"/>
    </row>
    <row r="3346" spans="1:22" s="63" customFormat="1" ht="22.5" x14ac:dyDescent="0.25">
      <c r="A3346" s="87">
        <v>29.64</v>
      </c>
      <c r="B3346" s="81" t="s">
        <v>100</v>
      </c>
      <c r="C3346" s="80">
        <v>32.5</v>
      </c>
      <c r="D3346" s="131" t="s">
        <v>3009</v>
      </c>
      <c r="E3346" s="83" t="s">
        <v>3010</v>
      </c>
      <c r="F3346" s="81" t="s">
        <v>219</v>
      </c>
      <c r="G3346" s="82">
        <v>90</v>
      </c>
      <c r="H3346" s="85"/>
      <c r="I3346" s="86">
        <v>17598.38</v>
      </c>
      <c r="J3346" s="185">
        <f t="shared" si="327"/>
        <v>222.64</v>
      </c>
      <c r="K3346" s="189">
        <f t="shared" si="328"/>
        <v>20037.599999999999</v>
      </c>
      <c r="L3346" s="189"/>
      <c r="M3346" s="138"/>
      <c r="N3346" s="138"/>
      <c r="O3346" s="138"/>
      <c r="S3346" s="72"/>
      <c r="T3346" s="72"/>
      <c r="U3346" s="72"/>
      <c r="V3346" s="72"/>
    </row>
    <row r="3347" spans="1:22" s="63" customFormat="1" ht="15" x14ac:dyDescent="0.25">
      <c r="A3347" s="194">
        <v>30</v>
      </c>
      <c r="B3347" s="418" t="s">
        <v>3011</v>
      </c>
      <c r="C3347" s="418"/>
      <c r="D3347" s="418"/>
      <c r="E3347" s="195" t="s">
        <v>103</v>
      </c>
      <c r="F3347" s="196"/>
      <c r="G3347" s="194"/>
      <c r="H3347" s="197">
        <v>2661044.7000000002</v>
      </c>
      <c r="I3347" s="355">
        <f>SUM(I3348:I3383)</f>
        <v>2661044.7000000002</v>
      </c>
      <c r="J3347" s="200"/>
      <c r="K3347" s="198">
        <f>SUM(K3348:K3383)</f>
        <v>3029865.3799999994</v>
      </c>
      <c r="L3347" s="198"/>
      <c r="M3347" s="207"/>
      <c r="N3347" s="209"/>
      <c r="O3347" s="138"/>
      <c r="S3347" s="72"/>
      <c r="T3347" s="72"/>
      <c r="U3347" s="72"/>
      <c r="V3347" s="72"/>
    </row>
    <row r="3348" spans="1:22" s="63" customFormat="1" ht="33.75" x14ac:dyDescent="0.25">
      <c r="A3348" s="80">
        <v>30.1</v>
      </c>
      <c r="B3348" s="81" t="s">
        <v>102</v>
      </c>
      <c r="C3348" s="82">
        <v>1</v>
      </c>
      <c r="D3348" s="131" t="s">
        <v>2324</v>
      </c>
      <c r="E3348" s="83" t="s">
        <v>3012</v>
      </c>
      <c r="F3348" s="81" t="s">
        <v>216</v>
      </c>
      <c r="G3348" s="87">
        <v>1.36</v>
      </c>
      <c r="H3348" s="85"/>
      <c r="I3348" s="86">
        <v>98544.76</v>
      </c>
      <c r="J3348" s="185">
        <f t="shared" ref="J3348:J3383" si="329">ROUND($I3348/$G3348*$N$11,2)</f>
        <v>82502.25</v>
      </c>
      <c r="K3348" s="189">
        <f t="shared" ref="K3348:K3383" si="330">ROUND(G3348*J3348,2)</f>
        <v>112203.06</v>
      </c>
      <c r="L3348" s="189"/>
      <c r="M3348" s="138"/>
      <c r="N3348" s="138"/>
      <c r="O3348" s="138"/>
      <c r="S3348" s="72"/>
      <c r="T3348" s="72"/>
      <c r="U3348" s="72"/>
      <c r="V3348" s="72"/>
    </row>
    <row r="3349" spans="1:22" s="63" customFormat="1" ht="18.75" customHeight="1" x14ac:dyDescent="0.25">
      <c r="A3349" s="80">
        <v>30.2</v>
      </c>
      <c r="B3349" s="81" t="s">
        <v>102</v>
      </c>
      <c r="C3349" s="80">
        <v>1.1000000000000001</v>
      </c>
      <c r="D3349" s="131" t="s">
        <v>3013</v>
      </c>
      <c r="E3349" s="83" t="s">
        <v>3014</v>
      </c>
      <c r="F3349" s="81" t="s">
        <v>216</v>
      </c>
      <c r="G3349" s="87">
        <v>5.08</v>
      </c>
      <c r="H3349" s="85"/>
      <c r="I3349" s="86">
        <v>34960.559999999998</v>
      </c>
      <c r="J3349" s="185">
        <f t="shared" si="329"/>
        <v>7835.85</v>
      </c>
      <c r="K3349" s="189">
        <f t="shared" si="330"/>
        <v>39806.120000000003</v>
      </c>
      <c r="L3349" s="189"/>
      <c r="M3349" s="138"/>
      <c r="N3349" s="138"/>
      <c r="O3349" s="138"/>
      <c r="S3349" s="72"/>
      <c r="T3349" s="72"/>
      <c r="U3349" s="72"/>
      <c r="V3349" s="72"/>
    </row>
    <row r="3350" spans="1:22" s="63" customFormat="1" ht="18.75" customHeight="1" x14ac:dyDescent="0.25">
      <c r="A3350" s="80">
        <v>30.3</v>
      </c>
      <c r="B3350" s="81" t="s">
        <v>102</v>
      </c>
      <c r="C3350" s="80">
        <v>1.2</v>
      </c>
      <c r="D3350" s="131" t="s">
        <v>3015</v>
      </c>
      <c r="E3350" s="83" t="s">
        <v>3016</v>
      </c>
      <c r="F3350" s="81" t="s">
        <v>219</v>
      </c>
      <c r="G3350" s="82">
        <v>4</v>
      </c>
      <c r="H3350" s="85"/>
      <c r="I3350" s="86">
        <v>82709.39</v>
      </c>
      <c r="J3350" s="185">
        <f t="shared" si="329"/>
        <v>23543.23</v>
      </c>
      <c r="K3350" s="189">
        <f t="shared" si="330"/>
        <v>94172.92</v>
      </c>
      <c r="L3350" s="189"/>
      <c r="M3350" s="138"/>
      <c r="N3350" s="138"/>
      <c r="O3350" s="138"/>
      <c r="S3350" s="72"/>
      <c r="T3350" s="72"/>
      <c r="U3350" s="72"/>
      <c r="V3350" s="72"/>
    </row>
    <row r="3351" spans="1:22" s="63" customFormat="1" ht="18.75" customHeight="1" x14ac:dyDescent="0.25">
      <c r="A3351" s="80">
        <v>30.4</v>
      </c>
      <c r="B3351" s="81" t="s">
        <v>102</v>
      </c>
      <c r="C3351" s="80">
        <v>1.3</v>
      </c>
      <c r="D3351" s="131" t="s">
        <v>3017</v>
      </c>
      <c r="E3351" s="83" t="s">
        <v>4086</v>
      </c>
      <c r="F3351" s="81" t="s">
        <v>1512</v>
      </c>
      <c r="G3351" s="82">
        <v>6</v>
      </c>
      <c r="H3351" s="85"/>
      <c r="I3351" s="86">
        <v>47476.74</v>
      </c>
      <c r="J3351" s="185">
        <f t="shared" si="329"/>
        <v>9009.5</v>
      </c>
      <c r="K3351" s="189">
        <f t="shared" si="330"/>
        <v>54057</v>
      </c>
      <c r="L3351" s="189"/>
      <c r="M3351" s="138"/>
      <c r="N3351" s="138"/>
      <c r="O3351" s="138"/>
      <c r="S3351" s="72"/>
      <c r="T3351" s="72"/>
      <c r="U3351" s="72"/>
      <c r="V3351" s="72"/>
    </row>
    <row r="3352" spans="1:22" s="63" customFormat="1" ht="18.75" customHeight="1" x14ac:dyDescent="0.25">
      <c r="A3352" s="80">
        <v>30.5</v>
      </c>
      <c r="B3352" s="81" t="s">
        <v>102</v>
      </c>
      <c r="C3352" s="80">
        <v>1.4</v>
      </c>
      <c r="D3352" s="131" t="s">
        <v>3018</v>
      </c>
      <c r="E3352" s="83" t="s">
        <v>4087</v>
      </c>
      <c r="F3352" s="81" t="s">
        <v>1512</v>
      </c>
      <c r="G3352" s="82">
        <v>5</v>
      </c>
      <c r="H3352" s="85"/>
      <c r="I3352" s="86">
        <v>58635.88</v>
      </c>
      <c r="J3352" s="185">
        <f t="shared" si="329"/>
        <v>13352.56</v>
      </c>
      <c r="K3352" s="189">
        <f t="shared" si="330"/>
        <v>66762.8</v>
      </c>
      <c r="L3352" s="189"/>
      <c r="M3352" s="138"/>
      <c r="N3352" s="138"/>
      <c r="O3352" s="138"/>
      <c r="S3352" s="72"/>
      <c r="T3352" s="72"/>
      <c r="U3352" s="72"/>
      <c r="V3352" s="72"/>
    </row>
    <row r="3353" spans="1:22" s="63" customFormat="1" ht="18.75" customHeight="1" x14ac:dyDescent="0.25">
      <c r="A3353" s="80">
        <v>30.6</v>
      </c>
      <c r="B3353" s="81" t="s">
        <v>102</v>
      </c>
      <c r="C3353" s="80">
        <v>1.5</v>
      </c>
      <c r="D3353" s="131" t="s">
        <v>3019</v>
      </c>
      <c r="E3353" s="83" t="s">
        <v>4088</v>
      </c>
      <c r="F3353" s="81" t="s">
        <v>1512</v>
      </c>
      <c r="G3353" s="82">
        <v>4</v>
      </c>
      <c r="H3353" s="85"/>
      <c r="I3353" s="86">
        <v>44649.440000000002</v>
      </c>
      <c r="J3353" s="185">
        <f t="shared" si="329"/>
        <v>12709.46</v>
      </c>
      <c r="K3353" s="189">
        <f t="shared" si="330"/>
        <v>50837.84</v>
      </c>
      <c r="L3353" s="189"/>
      <c r="M3353" s="138"/>
      <c r="N3353" s="138"/>
      <c r="O3353" s="138"/>
      <c r="S3353" s="72"/>
      <c r="T3353" s="72"/>
      <c r="U3353" s="72"/>
      <c r="V3353" s="72"/>
    </row>
    <row r="3354" spans="1:22" s="63" customFormat="1" ht="18.75" customHeight="1" x14ac:dyDescent="0.25">
      <c r="A3354" s="80">
        <v>30.7</v>
      </c>
      <c r="B3354" s="81" t="s">
        <v>102</v>
      </c>
      <c r="C3354" s="80">
        <v>1.6</v>
      </c>
      <c r="D3354" s="131" t="s">
        <v>3020</v>
      </c>
      <c r="E3354" s="83" t="s">
        <v>3021</v>
      </c>
      <c r="F3354" s="81" t="s">
        <v>219</v>
      </c>
      <c r="G3354" s="82">
        <v>8</v>
      </c>
      <c r="H3354" s="85"/>
      <c r="I3354" s="86">
        <v>61211.62</v>
      </c>
      <c r="J3354" s="185">
        <f t="shared" si="329"/>
        <v>8711.94</v>
      </c>
      <c r="K3354" s="189">
        <f t="shared" si="330"/>
        <v>69695.520000000004</v>
      </c>
      <c r="L3354" s="189"/>
      <c r="M3354" s="138"/>
      <c r="N3354" s="138"/>
      <c r="O3354" s="138"/>
      <c r="S3354" s="72"/>
      <c r="T3354" s="72"/>
      <c r="U3354" s="72"/>
      <c r="V3354" s="72"/>
    </row>
    <row r="3355" spans="1:22" s="63" customFormat="1" ht="18.75" customHeight="1" x14ac:dyDescent="0.25">
      <c r="A3355" s="80">
        <v>30.8</v>
      </c>
      <c r="B3355" s="81" t="s">
        <v>102</v>
      </c>
      <c r="C3355" s="80">
        <v>1.7</v>
      </c>
      <c r="D3355" s="131" t="s">
        <v>3022</v>
      </c>
      <c r="E3355" s="83" t="s">
        <v>4089</v>
      </c>
      <c r="F3355" s="81" t="s">
        <v>219</v>
      </c>
      <c r="G3355" s="82">
        <v>3</v>
      </c>
      <c r="H3355" s="85"/>
      <c r="I3355" s="86">
        <v>17343.439999999999</v>
      </c>
      <c r="J3355" s="185">
        <f t="shared" si="329"/>
        <v>6582.41</v>
      </c>
      <c r="K3355" s="189">
        <f t="shared" si="330"/>
        <v>19747.23</v>
      </c>
      <c r="L3355" s="189"/>
      <c r="M3355" s="138"/>
      <c r="N3355" s="138"/>
      <c r="O3355" s="138"/>
      <c r="S3355" s="72"/>
      <c r="T3355" s="72"/>
      <c r="U3355" s="72"/>
      <c r="V3355" s="72"/>
    </row>
    <row r="3356" spans="1:22" s="63" customFormat="1" ht="101.25" x14ac:dyDescent="0.25">
      <c r="A3356" s="80">
        <v>30.9</v>
      </c>
      <c r="B3356" s="81" t="s">
        <v>102</v>
      </c>
      <c r="C3356" s="82">
        <v>2</v>
      </c>
      <c r="D3356" s="131" t="s">
        <v>2538</v>
      </c>
      <c r="E3356" s="83" t="s">
        <v>3023</v>
      </c>
      <c r="F3356" s="81" t="s">
        <v>216</v>
      </c>
      <c r="G3356" s="87">
        <v>2.58</v>
      </c>
      <c r="H3356" s="85"/>
      <c r="I3356" s="86">
        <v>270494.23</v>
      </c>
      <c r="J3356" s="185">
        <f t="shared" si="329"/>
        <v>119373.93</v>
      </c>
      <c r="K3356" s="189">
        <f t="shared" si="330"/>
        <v>307984.74</v>
      </c>
      <c r="L3356" s="189"/>
      <c r="M3356" s="138"/>
      <c r="N3356" s="138"/>
      <c r="O3356" s="138"/>
      <c r="S3356" s="72"/>
      <c r="T3356" s="72"/>
      <c r="U3356" s="72"/>
      <c r="V3356" s="72"/>
    </row>
    <row r="3357" spans="1:22" s="63" customFormat="1" ht="18" customHeight="1" x14ac:dyDescent="0.25">
      <c r="A3357" s="87">
        <v>30.1</v>
      </c>
      <c r="B3357" s="81" t="s">
        <v>102</v>
      </c>
      <c r="C3357" s="80">
        <v>2.1</v>
      </c>
      <c r="D3357" s="131" t="s">
        <v>231</v>
      </c>
      <c r="E3357" s="83" t="s">
        <v>232</v>
      </c>
      <c r="F3357" s="81" t="s">
        <v>205</v>
      </c>
      <c r="G3357" s="88">
        <v>16.357199999999999</v>
      </c>
      <c r="H3357" s="85"/>
      <c r="I3357" s="86">
        <v>115942.96</v>
      </c>
      <c r="J3357" s="185">
        <f t="shared" si="329"/>
        <v>8070.61</v>
      </c>
      <c r="K3357" s="189">
        <f t="shared" si="330"/>
        <v>132012.57999999999</v>
      </c>
      <c r="L3357" s="189"/>
      <c r="M3357" s="138"/>
      <c r="N3357" s="138"/>
      <c r="O3357" s="138"/>
      <c r="S3357" s="72"/>
      <c r="T3357" s="72"/>
      <c r="U3357" s="72"/>
      <c r="V3357" s="72"/>
    </row>
    <row r="3358" spans="1:22" s="63" customFormat="1" ht="18" customHeight="1" x14ac:dyDescent="0.25">
      <c r="A3358" s="87">
        <v>30.11</v>
      </c>
      <c r="B3358" s="81" t="s">
        <v>102</v>
      </c>
      <c r="C3358" s="80">
        <v>2.2000000000000002</v>
      </c>
      <c r="D3358" s="131" t="s">
        <v>3024</v>
      </c>
      <c r="E3358" s="83" t="s">
        <v>4090</v>
      </c>
      <c r="F3358" s="81" t="s">
        <v>1512</v>
      </c>
      <c r="G3358" s="82">
        <v>2</v>
      </c>
      <c r="H3358" s="85"/>
      <c r="I3358" s="86">
        <v>17852.97</v>
      </c>
      <c r="J3358" s="185">
        <f t="shared" si="329"/>
        <v>10163.700000000001</v>
      </c>
      <c r="K3358" s="189">
        <f t="shared" si="330"/>
        <v>20327.400000000001</v>
      </c>
      <c r="L3358" s="189"/>
      <c r="M3358" s="138"/>
      <c r="N3358" s="138"/>
      <c r="O3358" s="138"/>
      <c r="S3358" s="72"/>
      <c r="T3358" s="72"/>
      <c r="U3358" s="72"/>
      <c r="V3358" s="72"/>
    </row>
    <row r="3359" spans="1:22" s="63" customFormat="1" ht="18" customHeight="1" x14ac:dyDescent="0.25">
      <c r="A3359" s="87">
        <v>30.12</v>
      </c>
      <c r="B3359" s="81" t="s">
        <v>102</v>
      </c>
      <c r="C3359" s="80">
        <v>2.2999999999999998</v>
      </c>
      <c r="D3359" s="131" t="s">
        <v>3025</v>
      </c>
      <c r="E3359" s="83" t="s">
        <v>4091</v>
      </c>
      <c r="F3359" s="81" t="s">
        <v>1512</v>
      </c>
      <c r="G3359" s="82">
        <v>2</v>
      </c>
      <c r="H3359" s="85"/>
      <c r="I3359" s="86">
        <v>29540.83</v>
      </c>
      <c r="J3359" s="185">
        <f t="shared" si="329"/>
        <v>16817.59</v>
      </c>
      <c r="K3359" s="189">
        <f t="shared" si="330"/>
        <v>33635.18</v>
      </c>
      <c r="L3359" s="189"/>
      <c r="M3359" s="138"/>
      <c r="N3359" s="138"/>
      <c r="O3359" s="138"/>
      <c r="S3359" s="72"/>
      <c r="T3359" s="72"/>
      <c r="U3359" s="72"/>
      <c r="V3359" s="72"/>
    </row>
    <row r="3360" spans="1:22" s="63" customFormat="1" ht="18" customHeight="1" x14ac:dyDescent="0.25">
      <c r="A3360" s="87">
        <v>30.13</v>
      </c>
      <c r="B3360" s="81" t="s">
        <v>102</v>
      </c>
      <c r="C3360" s="80">
        <v>2.4</v>
      </c>
      <c r="D3360" s="131" t="s">
        <v>3026</v>
      </c>
      <c r="E3360" s="83" t="s">
        <v>4092</v>
      </c>
      <c r="F3360" s="81" t="s">
        <v>1512</v>
      </c>
      <c r="G3360" s="82">
        <v>14</v>
      </c>
      <c r="H3360" s="85"/>
      <c r="I3360" s="86">
        <v>199786.5</v>
      </c>
      <c r="J3360" s="185">
        <f t="shared" si="329"/>
        <v>16248.35</v>
      </c>
      <c r="K3360" s="189">
        <f t="shared" si="330"/>
        <v>227476.9</v>
      </c>
      <c r="L3360" s="189"/>
      <c r="M3360" s="138"/>
      <c r="N3360" s="138"/>
      <c r="O3360" s="138"/>
      <c r="S3360" s="72"/>
      <c r="T3360" s="72"/>
      <c r="U3360" s="72"/>
      <c r="V3360" s="72"/>
    </row>
    <row r="3361" spans="1:22" s="63" customFormat="1" ht="18" customHeight="1" x14ac:dyDescent="0.25">
      <c r="A3361" s="87">
        <v>30.14</v>
      </c>
      <c r="B3361" s="81" t="s">
        <v>102</v>
      </c>
      <c r="C3361" s="80">
        <v>2.5</v>
      </c>
      <c r="D3361" s="131" t="s">
        <v>3027</v>
      </c>
      <c r="E3361" s="83" t="s">
        <v>4093</v>
      </c>
      <c r="F3361" s="81" t="s">
        <v>1512</v>
      </c>
      <c r="G3361" s="82">
        <v>1</v>
      </c>
      <c r="H3361" s="85"/>
      <c r="I3361" s="86">
        <v>84989.86</v>
      </c>
      <c r="J3361" s="185">
        <f t="shared" si="329"/>
        <v>96769.45</v>
      </c>
      <c r="K3361" s="189">
        <f t="shared" si="330"/>
        <v>96769.45</v>
      </c>
      <c r="L3361" s="189"/>
      <c r="M3361" s="138"/>
      <c r="N3361" s="138"/>
      <c r="O3361" s="138"/>
      <c r="S3361" s="72"/>
      <c r="T3361" s="72"/>
      <c r="U3361" s="72"/>
      <c r="V3361" s="72"/>
    </row>
    <row r="3362" spans="1:22" s="63" customFormat="1" ht="18" customHeight="1" x14ac:dyDescent="0.25">
      <c r="A3362" s="87">
        <v>30.15</v>
      </c>
      <c r="B3362" s="81" t="s">
        <v>102</v>
      </c>
      <c r="C3362" s="80">
        <v>2.6</v>
      </c>
      <c r="D3362" s="131" t="s">
        <v>3028</v>
      </c>
      <c r="E3362" s="83" t="s">
        <v>4094</v>
      </c>
      <c r="F3362" s="81" t="s">
        <v>1512</v>
      </c>
      <c r="G3362" s="82">
        <v>1</v>
      </c>
      <c r="H3362" s="85"/>
      <c r="I3362" s="86">
        <v>95367.29</v>
      </c>
      <c r="J3362" s="185">
        <f t="shared" si="329"/>
        <v>108585.2</v>
      </c>
      <c r="K3362" s="189">
        <f t="shared" si="330"/>
        <v>108585.2</v>
      </c>
      <c r="L3362" s="189"/>
      <c r="M3362" s="138"/>
      <c r="N3362" s="138"/>
      <c r="O3362" s="138"/>
      <c r="S3362" s="72"/>
      <c r="T3362" s="72"/>
      <c r="U3362" s="72"/>
      <c r="V3362" s="72"/>
    </row>
    <row r="3363" spans="1:22" s="63" customFormat="1" ht="18" customHeight="1" x14ac:dyDescent="0.25">
      <c r="A3363" s="87">
        <v>30.16</v>
      </c>
      <c r="B3363" s="81" t="s">
        <v>102</v>
      </c>
      <c r="C3363" s="80">
        <v>2.7</v>
      </c>
      <c r="D3363" s="131" t="s">
        <v>3029</v>
      </c>
      <c r="E3363" s="83" t="s">
        <v>4095</v>
      </c>
      <c r="F3363" s="81" t="s">
        <v>1512</v>
      </c>
      <c r="G3363" s="82">
        <v>1</v>
      </c>
      <c r="H3363" s="85"/>
      <c r="I3363" s="86">
        <v>82073.22</v>
      </c>
      <c r="J3363" s="185">
        <f t="shared" si="329"/>
        <v>93448.57</v>
      </c>
      <c r="K3363" s="189">
        <f t="shared" si="330"/>
        <v>93448.57</v>
      </c>
      <c r="L3363" s="189"/>
      <c r="M3363" s="138"/>
      <c r="N3363" s="138"/>
      <c r="O3363" s="138"/>
      <c r="S3363" s="72"/>
      <c r="T3363" s="72"/>
      <c r="U3363" s="72"/>
      <c r="V3363" s="72"/>
    </row>
    <row r="3364" spans="1:22" s="63" customFormat="1" ht="18" customHeight="1" x14ac:dyDescent="0.25">
      <c r="A3364" s="87">
        <v>30.17</v>
      </c>
      <c r="B3364" s="81" t="s">
        <v>102</v>
      </c>
      <c r="C3364" s="80">
        <v>2.8</v>
      </c>
      <c r="D3364" s="131" t="s">
        <v>3030</v>
      </c>
      <c r="E3364" s="83" t="s">
        <v>4096</v>
      </c>
      <c r="F3364" s="81" t="s">
        <v>1512</v>
      </c>
      <c r="G3364" s="82">
        <v>1</v>
      </c>
      <c r="H3364" s="85"/>
      <c r="I3364" s="86">
        <v>81521.240000000005</v>
      </c>
      <c r="J3364" s="185">
        <f t="shared" si="329"/>
        <v>92820.08</v>
      </c>
      <c r="K3364" s="189">
        <f t="shared" si="330"/>
        <v>92820.08</v>
      </c>
      <c r="L3364" s="189"/>
      <c r="M3364" s="138"/>
      <c r="N3364" s="138"/>
      <c r="O3364" s="138"/>
      <c r="S3364" s="72"/>
      <c r="T3364" s="72"/>
      <c r="U3364" s="72"/>
      <c r="V3364" s="72"/>
    </row>
    <row r="3365" spans="1:22" s="63" customFormat="1" ht="18" customHeight="1" x14ac:dyDescent="0.25">
      <c r="A3365" s="87">
        <v>30.18</v>
      </c>
      <c r="B3365" s="81" t="s">
        <v>102</v>
      </c>
      <c r="C3365" s="80">
        <v>2.9</v>
      </c>
      <c r="D3365" s="131" t="s">
        <v>3031</v>
      </c>
      <c r="E3365" s="83" t="s">
        <v>4097</v>
      </c>
      <c r="F3365" s="81" t="s">
        <v>1512</v>
      </c>
      <c r="G3365" s="82">
        <v>1</v>
      </c>
      <c r="H3365" s="85"/>
      <c r="I3365" s="86">
        <v>90846.57</v>
      </c>
      <c r="J3365" s="185">
        <f t="shared" si="329"/>
        <v>103437.9</v>
      </c>
      <c r="K3365" s="189">
        <f t="shared" si="330"/>
        <v>103437.9</v>
      </c>
      <c r="L3365" s="189"/>
      <c r="M3365" s="138"/>
      <c r="N3365" s="138"/>
      <c r="O3365" s="138"/>
      <c r="S3365" s="72"/>
      <c r="T3365" s="72"/>
      <c r="U3365" s="72"/>
      <c r="V3365" s="72"/>
    </row>
    <row r="3366" spans="1:22" s="63" customFormat="1" ht="18" customHeight="1" x14ac:dyDescent="0.25">
      <c r="A3366" s="87">
        <v>30.19</v>
      </c>
      <c r="B3366" s="81" t="s">
        <v>102</v>
      </c>
      <c r="C3366" s="87">
        <v>2.1</v>
      </c>
      <c r="D3366" s="131" t="s">
        <v>3032</v>
      </c>
      <c r="E3366" s="83" t="s">
        <v>4098</v>
      </c>
      <c r="F3366" s="81" t="s">
        <v>1512</v>
      </c>
      <c r="G3366" s="82">
        <v>1</v>
      </c>
      <c r="H3366" s="85"/>
      <c r="I3366" s="86">
        <v>142736.59</v>
      </c>
      <c r="J3366" s="185">
        <f t="shared" si="329"/>
        <v>162519.88</v>
      </c>
      <c r="K3366" s="189">
        <f t="shared" si="330"/>
        <v>162519.88</v>
      </c>
      <c r="L3366" s="189"/>
      <c r="M3366" s="138"/>
      <c r="N3366" s="138"/>
      <c r="O3366" s="138"/>
      <c r="S3366" s="72"/>
      <c r="T3366" s="72"/>
      <c r="U3366" s="72"/>
      <c r="V3366" s="72"/>
    </row>
    <row r="3367" spans="1:22" s="63" customFormat="1" ht="18" customHeight="1" x14ac:dyDescent="0.25">
      <c r="A3367" s="87">
        <v>30.2</v>
      </c>
      <c r="B3367" s="81" t="s">
        <v>102</v>
      </c>
      <c r="C3367" s="87">
        <v>2.11</v>
      </c>
      <c r="D3367" s="131" t="s">
        <v>3033</v>
      </c>
      <c r="E3367" s="83" t="s">
        <v>3034</v>
      </c>
      <c r="F3367" s="81" t="s">
        <v>219</v>
      </c>
      <c r="G3367" s="82">
        <v>1</v>
      </c>
      <c r="H3367" s="85"/>
      <c r="I3367" s="86">
        <v>22523.5</v>
      </c>
      <c r="J3367" s="185">
        <f t="shared" si="329"/>
        <v>25645.26</v>
      </c>
      <c r="K3367" s="189">
        <f t="shared" si="330"/>
        <v>25645.26</v>
      </c>
      <c r="L3367" s="189"/>
      <c r="M3367" s="138"/>
      <c r="N3367" s="138"/>
      <c r="O3367" s="138"/>
      <c r="S3367" s="72"/>
      <c r="T3367" s="72"/>
      <c r="U3367" s="72"/>
      <c r="V3367" s="72"/>
    </row>
    <row r="3368" spans="1:22" s="63" customFormat="1" ht="18" customHeight="1" x14ac:dyDescent="0.25">
      <c r="A3368" s="87">
        <v>30.21</v>
      </c>
      <c r="B3368" s="81" t="s">
        <v>102</v>
      </c>
      <c r="C3368" s="87">
        <v>2.12</v>
      </c>
      <c r="D3368" s="131" t="s">
        <v>3035</v>
      </c>
      <c r="E3368" s="83" t="s">
        <v>3036</v>
      </c>
      <c r="F3368" s="81" t="s">
        <v>219</v>
      </c>
      <c r="G3368" s="82">
        <v>1</v>
      </c>
      <c r="H3368" s="85"/>
      <c r="I3368" s="86">
        <v>42703.3</v>
      </c>
      <c r="J3368" s="185">
        <f t="shared" si="329"/>
        <v>48621.98</v>
      </c>
      <c r="K3368" s="189">
        <f t="shared" si="330"/>
        <v>48621.98</v>
      </c>
      <c r="L3368" s="189"/>
      <c r="M3368" s="138"/>
      <c r="N3368" s="138"/>
      <c r="O3368" s="138"/>
      <c r="S3368" s="72"/>
      <c r="T3368" s="72"/>
      <c r="U3368" s="72"/>
      <c r="V3368" s="72"/>
    </row>
    <row r="3369" spans="1:22" s="63" customFormat="1" ht="18" customHeight="1" x14ac:dyDescent="0.25">
      <c r="A3369" s="87">
        <v>30.22</v>
      </c>
      <c r="B3369" s="81" t="s">
        <v>102</v>
      </c>
      <c r="C3369" s="87">
        <v>2.13</v>
      </c>
      <c r="D3369" s="131" t="s">
        <v>3037</v>
      </c>
      <c r="E3369" s="83" t="s">
        <v>4099</v>
      </c>
      <c r="F3369" s="81" t="s">
        <v>1512</v>
      </c>
      <c r="G3369" s="82">
        <v>1</v>
      </c>
      <c r="H3369" s="85"/>
      <c r="I3369" s="86">
        <v>21423.8</v>
      </c>
      <c r="J3369" s="185">
        <f t="shared" si="329"/>
        <v>24393.14</v>
      </c>
      <c r="K3369" s="189">
        <f t="shared" si="330"/>
        <v>24393.14</v>
      </c>
      <c r="L3369" s="189"/>
      <c r="M3369" s="138"/>
      <c r="N3369" s="138"/>
      <c r="O3369" s="138"/>
      <c r="S3369" s="72"/>
      <c r="T3369" s="72"/>
      <c r="U3369" s="72"/>
      <c r="V3369" s="72"/>
    </row>
    <row r="3370" spans="1:22" s="63" customFormat="1" ht="18" customHeight="1" x14ac:dyDescent="0.25">
      <c r="A3370" s="87">
        <v>30.23</v>
      </c>
      <c r="B3370" s="81" t="s">
        <v>102</v>
      </c>
      <c r="C3370" s="87">
        <v>2.14</v>
      </c>
      <c r="D3370" s="131" t="s">
        <v>3038</v>
      </c>
      <c r="E3370" s="83" t="s">
        <v>3039</v>
      </c>
      <c r="F3370" s="81" t="s">
        <v>219</v>
      </c>
      <c r="G3370" s="82">
        <v>1</v>
      </c>
      <c r="H3370" s="85"/>
      <c r="I3370" s="86">
        <v>21685.14</v>
      </c>
      <c r="J3370" s="185">
        <f t="shared" si="329"/>
        <v>24690.7</v>
      </c>
      <c r="K3370" s="189">
        <f t="shared" si="330"/>
        <v>24690.7</v>
      </c>
      <c r="L3370" s="189"/>
      <c r="M3370" s="138"/>
      <c r="N3370" s="138"/>
      <c r="O3370" s="138"/>
      <c r="S3370" s="72"/>
      <c r="T3370" s="72"/>
      <c r="U3370" s="72"/>
      <c r="V3370" s="72"/>
    </row>
    <row r="3371" spans="1:22" s="63" customFormat="1" ht="18" customHeight="1" x14ac:dyDescent="0.25">
      <c r="A3371" s="87">
        <v>30.24</v>
      </c>
      <c r="B3371" s="81" t="s">
        <v>102</v>
      </c>
      <c r="C3371" s="87">
        <v>2.15</v>
      </c>
      <c r="D3371" s="131" t="s">
        <v>3040</v>
      </c>
      <c r="E3371" s="83" t="s">
        <v>4100</v>
      </c>
      <c r="F3371" s="81" t="s">
        <v>1512</v>
      </c>
      <c r="G3371" s="82">
        <v>1</v>
      </c>
      <c r="H3371" s="85"/>
      <c r="I3371" s="86">
        <v>21423.8</v>
      </c>
      <c r="J3371" s="185">
        <f t="shared" si="329"/>
        <v>24393.14</v>
      </c>
      <c r="K3371" s="189">
        <f t="shared" si="330"/>
        <v>24393.14</v>
      </c>
      <c r="L3371" s="189"/>
      <c r="M3371" s="138"/>
      <c r="N3371" s="138"/>
      <c r="O3371" s="138"/>
      <c r="S3371" s="72"/>
      <c r="T3371" s="72"/>
      <c r="U3371" s="72"/>
      <c r="V3371" s="72"/>
    </row>
    <row r="3372" spans="1:22" s="63" customFormat="1" ht="18" customHeight="1" x14ac:dyDescent="0.25">
      <c r="A3372" s="87">
        <v>30.25</v>
      </c>
      <c r="B3372" s="81" t="s">
        <v>102</v>
      </c>
      <c r="C3372" s="87">
        <v>2.16</v>
      </c>
      <c r="D3372" s="131" t="s">
        <v>3041</v>
      </c>
      <c r="E3372" s="83" t="s">
        <v>4101</v>
      </c>
      <c r="F3372" s="81" t="s">
        <v>1512</v>
      </c>
      <c r="G3372" s="82">
        <v>1</v>
      </c>
      <c r="H3372" s="85"/>
      <c r="I3372" s="86">
        <v>18469.96</v>
      </c>
      <c r="J3372" s="185">
        <f t="shared" si="329"/>
        <v>21029.9</v>
      </c>
      <c r="K3372" s="189">
        <f t="shared" si="330"/>
        <v>21029.9</v>
      </c>
      <c r="L3372" s="189"/>
      <c r="M3372" s="138"/>
      <c r="N3372" s="138"/>
      <c r="O3372" s="138"/>
      <c r="S3372" s="72"/>
      <c r="T3372" s="72"/>
      <c r="U3372" s="72"/>
      <c r="V3372" s="72"/>
    </row>
    <row r="3373" spans="1:22" s="63" customFormat="1" ht="18" customHeight="1" x14ac:dyDescent="0.25">
      <c r="A3373" s="87">
        <v>30.26</v>
      </c>
      <c r="B3373" s="81" t="s">
        <v>102</v>
      </c>
      <c r="C3373" s="87">
        <v>2.17</v>
      </c>
      <c r="D3373" s="131" t="s">
        <v>3042</v>
      </c>
      <c r="E3373" s="83" t="s">
        <v>3043</v>
      </c>
      <c r="F3373" s="81" t="s">
        <v>219</v>
      </c>
      <c r="G3373" s="82">
        <v>1</v>
      </c>
      <c r="H3373" s="85"/>
      <c r="I3373" s="86">
        <v>40967.879999999997</v>
      </c>
      <c r="J3373" s="185">
        <f t="shared" si="329"/>
        <v>46646.03</v>
      </c>
      <c r="K3373" s="189">
        <f t="shared" si="330"/>
        <v>46646.03</v>
      </c>
      <c r="L3373" s="189"/>
      <c r="M3373" s="138"/>
      <c r="N3373" s="138"/>
      <c r="O3373" s="138"/>
      <c r="S3373" s="72"/>
      <c r="T3373" s="72"/>
      <c r="U3373" s="72"/>
      <c r="V3373" s="72"/>
    </row>
    <row r="3374" spans="1:22" s="63" customFormat="1" ht="18" customHeight="1" x14ac:dyDescent="0.25">
      <c r="A3374" s="87">
        <v>30.27</v>
      </c>
      <c r="B3374" s="81" t="s">
        <v>102</v>
      </c>
      <c r="C3374" s="87">
        <v>2.1800000000000002</v>
      </c>
      <c r="D3374" s="131" t="s">
        <v>3044</v>
      </c>
      <c r="E3374" s="83" t="s">
        <v>3045</v>
      </c>
      <c r="F3374" s="81" t="s">
        <v>219</v>
      </c>
      <c r="G3374" s="82">
        <v>1</v>
      </c>
      <c r="H3374" s="85"/>
      <c r="I3374" s="86">
        <v>35077.51</v>
      </c>
      <c r="J3374" s="185">
        <f t="shared" si="329"/>
        <v>39939.25</v>
      </c>
      <c r="K3374" s="189">
        <f t="shared" si="330"/>
        <v>39939.25</v>
      </c>
      <c r="L3374" s="189"/>
      <c r="M3374" s="138"/>
      <c r="N3374" s="138"/>
      <c r="O3374" s="138"/>
      <c r="S3374" s="72"/>
      <c r="T3374" s="72"/>
      <c r="U3374" s="72"/>
      <c r="V3374" s="72"/>
    </row>
    <row r="3375" spans="1:22" s="63" customFormat="1" ht="18" customHeight="1" x14ac:dyDescent="0.25">
      <c r="A3375" s="87">
        <v>30.28</v>
      </c>
      <c r="B3375" s="81" t="s">
        <v>102</v>
      </c>
      <c r="C3375" s="87">
        <v>2.19</v>
      </c>
      <c r="D3375" s="131" t="s">
        <v>3046</v>
      </c>
      <c r="E3375" s="83" t="s">
        <v>3047</v>
      </c>
      <c r="F3375" s="81" t="s">
        <v>219</v>
      </c>
      <c r="G3375" s="82">
        <v>1</v>
      </c>
      <c r="H3375" s="85"/>
      <c r="I3375" s="86">
        <v>41722.949999999997</v>
      </c>
      <c r="J3375" s="185">
        <f t="shared" si="329"/>
        <v>47505.75</v>
      </c>
      <c r="K3375" s="189">
        <f t="shared" si="330"/>
        <v>47505.75</v>
      </c>
      <c r="L3375" s="189"/>
      <c r="M3375" s="138"/>
      <c r="N3375" s="138"/>
      <c r="O3375" s="138"/>
      <c r="S3375" s="72"/>
      <c r="T3375" s="72"/>
      <c r="U3375" s="72"/>
      <c r="V3375" s="72"/>
    </row>
    <row r="3376" spans="1:22" s="63" customFormat="1" ht="22.5" x14ac:dyDescent="0.25">
      <c r="A3376" s="87">
        <v>30.29</v>
      </c>
      <c r="B3376" s="81" t="s">
        <v>102</v>
      </c>
      <c r="C3376" s="87">
        <v>2.2000000000000002</v>
      </c>
      <c r="D3376" s="131" t="s">
        <v>3048</v>
      </c>
      <c r="E3376" s="83" t="s">
        <v>3049</v>
      </c>
      <c r="F3376" s="81" t="s">
        <v>219</v>
      </c>
      <c r="G3376" s="82">
        <v>1</v>
      </c>
      <c r="H3376" s="85"/>
      <c r="I3376" s="86">
        <v>87730.76</v>
      </c>
      <c r="J3376" s="185">
        <f t="shared" si="329"/>
        <v>99890.240000000005</v>
      </c>
      <c r="K3376" s="189">
        <f t="shared" si="330"/>
        <v>99890.240000000005</v>
      </c>
      <c r="L3376" s="189"/>
      <c r="M3376" s="138"/>
      <c r="N3376" s="138"/>
      <c r="O3376" s="138"/>
      <c r="S3376" s="72"/>
      <c r="T3376" s="72"/>
      <c r="U3376" s="72"/>
      <c r="V3376" s="72"/>
    </row>
    <row r="3377" spans="1:22" s="63" customFormat="1" ht="18.75" customHeight="1" x14ac:dyDescent="0.25">
      <c r="A3377" s="87">
        <v>30.3</v>
      </c>
      <c r="B3377" s="81" t="s">
        <v>102</v>
      </c>
      <c r="C3377" s="87">
        <v>2.21</v>
      </c>
      <c r="D3377" s="131" t="s">
        <v>3050</v>
      </c>
      <c r="E3377" s="83" t="s">
        <v>4102</v>
      </c>
      <c r="F3377" s="81" t="s">
        <v>1512</v>
      </c>
      <c r="G3377" s="82">
        <v>1</v>
      </c>
      <c r="H3377" s="85"/>
      <c r="I3377" s="86">
        <v>338659.76</v>
      </c>
      <c r="J3377" s="185">
        <f t="shared" si="329"/>
        <v>385598</v>
      </c>
      <c r="K3377" s="189">
        <f t="shared" si="330"/>
        <v>385598</v>
      </c>
      <c r="L3377" s="189"/>
      <c r="M3377" s="138"/>
      <c r="N3377" s="138"/>
      <c r="O3377" s="138"/>
      <c r="S3377" s="72"/>
      <c r="T3377" s="72"/>
      <c r="U3377" s="72"/>
      <c r="V3377" s="72"/>
    </row>
    <row r="3378" spans="1:22" s="63" customFormat="1" ht="18.75" customHeight="1" x14ac:dyDescent="0.25">
      <c r="A3378" s="87">
        <v>30.31</v>
      </c>
      <c r="B3378" s="81" t="s">
        <v>102</v>
      </c>
      <c r="C3378" s="87">
        <v>2.2200000000000002</v>
      </c>
      <c r="D3378" s="131" t="s">
        <v>3051</v>
      </c>
      <c r="E3378" s="83" t="s">
        <v>4103</v>
      </c>
      <c r="F3378" s="81" t="s">
        <v>1512</v>
      </c>
      <c r="G3378" s="82">
        <v>1</v>
      </c>
      <c r="H3378" s="85"/>
      <c r="I3378" s="86">
        <v>62204.58</v>
      </c>
      <c r="J3378" s="185">
        <f t="shared" si="329"/>
        <v>70826.13</v>
      </c>
      <c r="K3378" s="189">
        <f t="shared" si="330"/>
        <v>70826.13</v>
      </c>
      <c r="L3378" s="189"/>
      <c r="M3378" s="138"/>
      <c r="N3378" s="138"/>
      <c r="O3378" s="138"/>
      <c r="S3378" s="72"/>
      <c r="T3378" s="72"/>
      <c r="U3378" s="72"/>
      <c r="V3378" s="72"/>
    </row>
    <row r="3379" spans="1:22" s="63" customFormat="1" ht="18.75" customHeight="1" x14ac:dyDescent="0.25">
      <c r="A3379" s="87">
        <v>30.32</v>
      </c>
      <c r="B3379" s="81" t="s">
        <v>102</v>
      </c>
      <c r="C3379" s="87">
        <v>2.23</v>
      </c>
      <c r="D3379" s="131" t="s">
        <v>3052</v>
      </c>
      <c r="E3379" s="83" t="s">
        <v>4104</v>
      </c>
      <c r="F3379" s="81" t="s">
        <v>1512</v>
      </c>
      <c r="G3379" s="82">
        <v>1</v>
      </c>
      <c r="H3379" s="85"/>
      <c r="I3379" s="86">
        <v>15823.45</v>
      </c>
      <c r="J3379" s="185">
        <f t="shared" si="329"/>
        <v>18016.580000000002</v>
      </c>
      <c r="K3379" s="189">
        <f t="shared" si="330"/>
        <v>18016.580000000002</v>
      </c>
      <c r="L3379" s="189"/>
      <c r="M3379" s="138"/>
      <c r="N3379" s="138"/>
      <c r="O3379" s="138"/>
      <c r="S3379" s="72"/>
      <c r="T3379" s="72"/>
      <c r="U3379" s="72"/>
      <c r="V3379" s="72"/>
    </row>
    <row r="3380" spans="1:22" s="63" customFormat="1" ht="18.75" customHeight="1" x14ac:dyDescent="0.25">
      <c r="A3380" s="87">
        <v>30.33</v>
      </c>
      <c r="B3380" s="81" t="s">
        <v>102</v>
      </c>
      <c r="C3380" s="87">
        <v>2.2400000000000002</v>
      </c>
      <c r="D3380" s="131" t="s">
        <v>3053</v>
      </c>
      <c r="E3380" s="83" t="s">
        <v>4105</v>
      </c>
      <c r="F3380" s="81" t="s">
        <v>1512</v>
      </c>
      <c r="G3380" s="82">
        <v>1</v>
      </c>
      <c r="H3380" s="85"/>
      <c r="I3380" s="86">
        <v>19381.490000000002</v>
      </c>
      <c r="J3380" s="185">
        <f t="shared" si="329"/>
        <v>22067.759999999998</v>
      </c>
      <c r="K3380" s="189">
        <f t="shared" si="330"/>
        <v>22067.759999999998</v>
      </c>
      <c r="L3380" s="189"/>
      <c r="M3380" s="138"/>
      <c r="N3380" s="138"/>
      <c r="O3380" s="138"/>
      <c r="S3380" s="72"/>
      <c r="T3380" s="72"/>
      <c r="U3380" s="72"/>
      <c r="V3380" s="72"/>
    </row>
    <row r="3381" spans="1:22" s="63" customFormat="1" ht="18.75" customHeight="1" x14ac:dyDescent="0.25">
      <c r="A3381" s="87">
        <v>30.34</v>
      </c>
      <c r="B3381" s="81" t="s">
        <v>102</v>
      </c>
      <c r="C3381" s="87">
        <v>2.25</v>
      </c>
      <c r="D3381" s="131" t="s">
        <v>3054</v>
      </c>
      <c r="E3381" s="83" t="s">
        <v>3055</v>
      </c>
      <c r="F3381" s="81" t="s">
        <v>219</v>
      </c>
      <c r="G3381" s="82">
        <v>1</v>
      </c>
      <c r="H3381" s="85"/>
      <c r="I3381" s="86">
        <v>29436.84</v>
      </c>
      <c r="J3381" s="185">
        <f t="shared" si="329"/>
        <v>33516.79</v>
      </c>
      <c r="K3381" s="189">
        <f t="shared" si="330"/>
        <v>33516.79</v>
      </c>
      <c r="L3381" s="189"/>
      <c r="M3381" s="138"/>
      <c r="N3381" s="138"/>
      <c r="O3381" s="138"/>
      <c r="S3381" s="72"/>
      <c r="T3381" s="72"/>
      <c r="U3381" s="72"/>
      <c r="V3381" s="72"/>
    </row>
    <row r="3382" spans="1:22" s="63" customFormat="1" ht="18.75" customHeight="1" x14ac:dyDescent="0.25">
      <c r="A3382" s="87">
        <v>30.35</v>
      </c>
      <c r="B3382" s="81" t="s">
        <v>102</v>
      </c>
      <c r="C3382" s="87">
        <v>2.2599999999999998</v>
      </c>
      <c r="D3382" s="131" t="s">
        <v>3056</v>
      </c>
      <c r="E3382" s="83" t="s">
        <v>4106</v>
      </c>
      <c r="F3382" s="81" t="s">
        <v>1512</v>
      </c>
      <c r="G3382" s="82">
        <v>6</v>
      </c>
      <c r="H3382" s="85"/>
      <c r="I3382" s="86">
        <v>179408.32</v>
      </c>
      <c r="J3382" s="185">
        <f t="shared" si="329"/>
        <v>34045.72</v>
      </c>
      <c r="K3382" s="189">
        <f t="shared" si="330"/>
        <v>204274.32</v>
      </c>
      <c r="L3382" s="189"/>
      <c r="M3382" s="138"/>
      <c r="N3382" s="138"/>
      <c r="O3382" s="138"/>
      <c r="S3382" s="72"/>
      <c r="T3382" s="72"/>
      <c r="U3382" s="72"/>
      <c r="V3382" s="72"/>
    </row>
    <row r="3383" spans="1:22" s="63" customFormat="1" ht="18.75" customHeight="1" x14ac:dyDescent="0.25">
      <c r="A3383" s="87">
        <v>30.36</v>
      </c>
      <c r="B3383" s="81" t="s">
        <v>102</v>
      </c>
      <c r="C3383" s="87">
        <v>2.27</v>
      </c>
      <c r="D3383" s="131" t="s">
        <v>3057</v>
      </c>
      <c r="E3383" s="83" t="s">
        <v>3058</v>
      </c>
      <c r="F3383" s="81" t="s">
        <v>205</v>
      </c>
      <c r="G3383" s="87">
        <v>9.1199999999999992</v>
      </c>
      <c r="H3383" s="85"/>
      <c r="I3383" s="86">
        <v>5717.57</v>
      </c>
      <c r="J3383" s="185">
        <f t="shared" si="329"/>
        <v>713.82</v>
      </c>
      <c r="K3383" s="189">
        <f t="shared" si="330"/>
        <v>6510.04</v>
      </c>
      <c r="L3383" s="189"/>
      <c r="M3383" s="138"/>
      <c r="N3383" s="138"/>
      <c r="O3383" s="138"/>
      <c r="S3383" s="72"/>
      <c r="T3383" s="72"/>
      <c r="U3383" s="72"/>
      <c r="V3383" s="72"/>
    </row>
    <row r="3384" spans="1:22" s="63" customFormat="1" ht="15" x14ac:dyDescent="0.25">
      <c r="A3384" s="194">
        <v>31</v>
      </c>
      <c r="B3384" s="418" t="s">
        <v>3059</v>
      </c>
      <c r="C3384" s="418"/>
      <c r="D3384" s="418"/>
      <c r="E3384" s="195" t="s">
        <v>105</v>
      </c>
      <c r="F3384" s="196"/>
      <c r="G3384" s="194">
        <v>1</v>
      </c>
      <c r="H3384" s="197">
        <v>3439012.13</v>
      </c>
      <c r="I3384" s="355">
        <f>SUM(I3386:I3430)</f>
        <v>2255198.3400000003</v>
      </c>
      <c r="J3384" s="200"/>
      <c r="K3384" s="198">
        <f>SUM(K3386:K3430)</f>
        <v>2567769.0500000003</v>
      </c>
      <c r="L3384" s="198"/>
      <c r="M3384" s="207"/>
      <c r="N3384" s="209"/>
      <c r="O3384" s="138"/>
      <c r="S3384" s="72"/>
      <c r="T3384" s="72"/>
      <c r="U3384" s="72"/>
      <c r="V3384" s="72"/>
    </row>
    <row r="3385" spans="1:22" s="224" customFormat="1" ht="15" x14ac:dyDescent="0.25">
      <c r="A3385" s="216"/>
      <c r="B3385" s="217"/>
      <c r="C3385" s="217"/>
      <c r="D3385" s="217"/>
      <c r="E3385" s="218" t="s">
        <v>3418</v>
      </c>
      <c r="F3385" s="219"/>
      <c r="G3385" s="216"/>
      <c r="H3385" s="220"/>
      <c r="I3385" s="221"/>
      <c r="J3385" s="244"/>
      <c r="K3385" s="221"/>
      <c r="L3385" s="221"/>
      <c r="M3385" s="222"/>
      <c r="N3385" s="223"/>
      <c r="O3385" s="245"/>
      <c r="S3385" s="225"/>
      <c r="T3385" s="225"/>
      <c r="U3385" s="225"/>
      <c r="V3385" s="225"/>
    </row>
    <row r="3386" spans="1:22" s="63" customFormat="1" ht="22.5" x14ac:dyDescent="0.25">
      <c r="A3386" s="80">
        <v>31.4</v>
      </c>
      <c r="B3386" s="81" t="s">
        <v>104</v>
      </c>
      <c r="C3386" s="82">
        <v>2</v>
      </c>
      <c r="D3386" s="131" t="s">
        <v>2540</v>
      </c>
      <c r="E3386" s="83" t="s">
        <v>2541</v>
      </c>
      <c r="F3386" s="81" t="s">
        <v>566</v>
      </c>
      <c r="G3386" s="310">
        <v>5.4</v>
      </c>
      <c r="H3386" s="85"/>
      <c r="I3386" s="306">
        <v>39131.97</v>
      </c>
      <c r="J3386" s="185">
        <f>ROUND($I3386/$G3386*$N$11,2)</f>
        <v>8251.0499999999993</v>
      </c>
      <c r="K3386" s="189">
        <f>ROUND(G3386*J3386,2)</f>
        <v>44555.67</v>
      </c>
      <c r="L3386" s="189"/>
      <c r="M3386" s="138"/>
      <c r="N3386" s="138"/>
      <c r="O3386" s="138"/>
      <c r="S3386" s="72"/>
      <c r="T3386" s="72"/>
      <c r="U3386" s="72"/>
      <c r="V3386" s="72"/>
    </row>
    <row r="3387" spans="1:22" s="63" customFormat="1" ht="22.5" x14ac:dyDescent="0.25">
      <c r="A3387" s="80">
        <v>31.5</v>
      </c>
      <c r="B3387" s="81" t="s">
        <v>104</v>
      </c>
      <c r="C3387" s="80">
        <v>2.1</v>
      </c>
      <c r="D3387" s="131" t="s">
        <v>3062</v>
      </c>
      <c r="E3387" s="83" t="s">
        <v>3063</v>
      </c>
      <c r="F3387" s="81" t="s">
        <v>226</v>
      </c>
      <c r="G3387" s="305">
        <v>1.8434999999999999</v>
      </c>
      <c r="H3387" s="85"/>
      <c r="I3387" s="306">
        <v>183768.67</v>
      </c>
      <c r="J3387" s="185">
        <f>ROUND($I3387/$G3387*$N$11,2)</f>
        <v>113500.95</v>
      </c>
      <c r="K3387" s="189">
        <f>ROUND(G3387*J3387,2)</f>
        <v>209239</v>
      </c>
      <c r="L3387" s="189"/>
      <c r="M3387" s="138"/>
      <c r="N3387" s="138"/>
      <c r="O3387" s="138"/>
      <c r="S3387" s="72"/>
      <c r="T3387" s="72"/>
      <c r="U3387" s="72"/>
      <c r="V3387" s="72"/>
    </row>
    <row r="3388" spans="1:22" s="128" customFormat="1" ht="12.75" x14ac:dyDescent="0.25">
      <c r="A3388" s="236"/>
      <c r="B3388" s="125"/>
      <c r="C3388" s="236"/>
      <c r="D3388" s="77"/>
      <c r="E3388" s="126" t="s">
        <v>3416</v>
      </c>
      <c r="F3388" s="125"/>
      <c r="G3388" s="240"/>
      <c r="H3388" s="127"/>
      <c r="I3388" s="78"/>
      <c r="J3388" s="238"/>
      <c r="K3388" s="239"/>
      <c r="L3388" s="239"/>
      <c r="M3388" s="79"/>
      <c r="N3388" s="79"/>
      <c r="O3388" s="79"/>
      <c r="S3388" s="129"/>
      <c r="T3388" s="129"/>
      <c r="U3388" s="129"/>
      <c r="V3388" s="129"/>
    </row>
    <row r="3389" spans="1:22" s="63" customFormat="1" ht="22.5" x14ac:dyDescent="0.25">
      <c r="A3389" s="80">
        <v>31.6</v>
      </c>
      <c r="B3389" s="81" t="s">
        <v>104</v>
      </c>
      <c r="C3389" s="82">
        <v>3</v>
      </c>
      <c r="D3389" s="131" t="s">
        <v>2315</v>
      </c>
      <c r="E3389" s="83" t="s">
        <v>2316</v>
      </c>
      <c r="F3389" s="81" t="s">
        <v>196</v>
      </c>
      <c r="G3389" s="88">
        <v>2.5499999999999998E-2</v>
      </c>
      <c r="H3389" s="85"/>
      <c r="I3389" s="86">
        <v>15361.93</v>
      </c>
      <c r="J3389" s="185">
        <f t="shared" ref="J3389:J3399" si="331">ROUND($I3389/$G3389*$N$11,2)</f>
        <v>685925.24</v>
      </c>
      <c r="K3389" s="189">
        <f t="shared" ref="K3389:K3399" si="332">ROUND(G3389*J3389,2)</f>
        <v>17491.09</v>
      </c>
      <c r="L3389" s="189"/>
      <c r="M3389" s="138"/>
      <c r="N3389" s="138"/>
      <c r="O3389" s="138"/>
      <c r="S3389" s="72"/>
      <c r="T3389" s="72"/>
      <c r="U3389" s="72"/>
      <c r="V3389" s="72"/>
    </row>
    <row r="3390" spans="1:22" s="63" customFormat="1" ht="22.5" x14ac:dyDescent="0.25">
      <c r="A3390" s="80">
        <v>31.7</v>
      </c>
      <c r="B3390" s="81" t="s">
        <v>104</v>
      </c>
      <c r="C3390" s="82">
        <v>4</v>
      </c>
      <c r="D3390" s="131" t="s">
        <v>3064</v>
      </c>
      <c r="E3390" s="83" t="s">
        <v>3065</v>
      </c>
      <c r="F3390" s="81" t="s">
        <v>196</v>
      </c>
      <c r="G3390" s="84">
        <v>2.7E-2</v>
      </c>
      <c r="H3390" s="85"/>
      <c r="I3390" s="86">
        <v>48969.42</v>
      </c>
      <c r="J3390" s="185">
        <f t="shared" si="331"/>
        <v>2065058.58</v>
      </c>
      <c r="K3390" s="189">
        <f t="shared" si="332"/>
        <v>55756.58</v>
      </c>
      <c r="L3390" s="189"/>
      <c r="M3390" s="138"/>
      <c r="N3390" s="138"/>
      <c r="O3390" s="138"/>
      <c r="S3390" s="72"/>
      <c r="T3390" s="72"/>
      <c r="U3390" s="72"/>
      <c r="V3390" s="72"/>
    </row>
    <row r="3391" spans="1:22" s="63" customFormat="1" ht="18" customHeight="1" x14ac:dyDescent="0.25">
      <c r="A3391" s="80">
        <v>31.8</v>
      </c>
      <c r="B3391" s="81" t="s">
        <v>104</v>
      </c>
      <c r="C3391" s="80">
        <v>4.0999999999999996</v>
      </c>
      <c r="D3391" s="131" t="s">
        <v>2317</v>
      </c>
      <c r="E3391" s="83" t="s">
        <v>2318</v>
      </c>
      <c r="F3391" s="81" t="s">
        <v>205</v>
      </c>
      <c r="G3391" s="88">
        <v>5.3414999999999999</v>
      </c>
      <c r="H3391" s="85"/>
      <c r="I3391" s="86">
        <v>34067.5</v>
      </c>
      <c r="J3391" s="185">
        <f t="shared" si="331"/>
        <v>7261.87</v>
      </c>
      <c r="K3391" s="189">
        <f t="shared" si="332"/>
        <v>38789.279999999999</v>
      </c>
      <c r="L3391" s="189"/>
      <c r="M3391" s="138"/>
      <c r="N3391" s="138"/>
      <c r="O3391" s="138"/>
      <c r="S3391" s="72"/>
      <c r="T3391" s="72"/>
      <c r="U3391" s="72"/>
      <c r="V3391" s="72"/>
    </row>
    <row r="3392" spans="1:22" s="63" customFormat="1" ht="18" customHeight="1" x14ac:dyDescent="0.25">
      <c r="A3392" s="80">
        <v>31.9</v>
      </c>
      <c r="B3392" s="81" t="s">
        <v>104</v>
      </c>
      <c r="C3392" s="80">
        <v>4.2</v>
      </c>
      <c r="D3392" s="131" t="s">
        <v>276</v>
      </c>
      <c r="E3392" s="83" t="s">
        <v>277</v>
      </c>
      <c r="F3392" s="81" t="s">
        <v>226</v>
      </c>
      <c r="G3392" s="89">
        <v>3.6990000000000002E-2</v>
      </c>
      <c r="H3392" s="85"/>
      <c r="I3392" s="86">
        <v>1829.55</v>
      </c>
      <c r="J3392" s="185">
        <f t="shared" si="331"/>
        <v>56315.91</v>
      </c>
      <c r="K3392" s="189">
        <f t="shared" si="332"/>
        <v>2083.13</v>
      </c>
      <c r="L3392" s="189"/>
      <c r="M3392" s="138"/>
      <c r="N3392" s="138"/>
      <c r="O3392" s="138"/>
      <c r="S3392" s="72"/>
      <c r="T3392" s="72"/>
      <c r="U3392" s="72"/>
      <c r="V3392" s="72"/>
    </row>
    <row r="3393" spans="1:22" s="63" customFormat="1" ht="18" customHeight="1" x14ac:dyDescent="0.25">
      <c r="A3393" s="87">
        <v>31.1</v>
      </c>
      <c r="B3393" s="81" t="s">
        <v>104</v>
      </c>
      <c r="C3393" s="80">
        <v>4.3</v>
      </c>
      <c r="D3393" s="131" t="s">
        <v>236</v>
      </c>
      <c r="E3393" s="83" t="s">
        <v>237</v>
      </c>
      <c r="F3393" s="81" t="s">
        <v>226</v>
      </c>
      <c r="G3393" s="89">
        <v>3.108E-2</v>
      </c>
      <c r="H3393" s="85"/>
      <c r="I3393" s="86">
        <v>1541.3</v>
      </c>
      <c r="J3393" s="185">
        <f t="shared" si="331"/>
        <v>56464.74</v>
      </c>
      <c r="K3393" s="189">
        <f t="shared" si="332"/>
        <v>1754.92</v>
      </c>
      <c r="L3393" s="189"/>
      <c r="M3393" s="138"/>
      <c r="N3393" s="138"/>
      <c r="O3393" s="138"/>
      <c r="S3393" s="72"/>
      <c r="T3393" s="72"/>
      <c r="U3393" s="72"/>
      <c r="V3393" s="72"/>
    </row>
    <row r="3394" spans="1:22" s="63" customFormat="1" ht="18" customHeight="1" x14ac:dyDescent="0.25">
      <c r="A3394" s="87">
        <v>31.11</v>
      </c>
      <c r="B3394" s="81" t="s">
        <v>104</v>
      </c>
      <c r="C3394" s="80">
        <v>4.4000000000000004</v>
      </c>
      <c r="D3394" s="131" t="s">
        <v>227</v>
      </c>
      <c r="E3394" s="83" t="s">
        <v>228</v>
      </c>
      <c r="F3394" s="81" t="s">
        <v>226</v>
      </c>
      <c r="G3394" s="89">
        <v>0.13289000000000001</v>
      </c>
      <c r="H3394" s="85"/>
      <c r="I3394" s="86">
        <v>6476.98</v>
      </c>
      <c r="J3394" s="185">
        <f t="shared" si="331"/>
        <v>55494.69</v>
      </c>
      <c r="K3394" s="189">
        <f t="shared" si="332"/>
        <v>7374.69</v>
      </c>
      <c r="L3394" s="189"/>
      <c r="M3394" s="138"/>
      <c r="N3394" s="138"/>
      <c r="O3394" s="138"/>
      <c r="S3394" s="72"/>
      <c r="T3394" s="72"/>
      <c r="U3394" s="72"/>
      <c r="V3394" s="72"/>
    </row>
    <row r="3395" spans="1:22" s="63" customFormat="1" ht="18" customHeight="1" x14ac:dyDescent="0.25">
      <c r="A3395" s="87">
        <v>31.12</v>
      </c>
      <c r="B3395" s="81" t="s">
        <v>104</v>
      </c>
      <c r="C3395" s="80">
        <v>4.5</v>
      </c>
      <c r="D3395" s="131" t="s">
        <v>3066</v>
      </c>
      <c r="E3395" s="83" t="s">
        <v>3067</v>
      </c>
      <c r="F3395" s="81" t="s">
        <v>226</v>
      </c>
      <c r="G3395" s="89">
        <v>3.2969999999999999E-2</v>
      </c>
      <c r="H3395" s="85"/>
      <c r="I3395" s="86">
        <v>1473.55</v>
      </c>
      <c r="J3395" s="185">
        <f t="shared" si="331"/>
        <v>50888.2</v>
      </c>
      <c r="K3395" s="189">
        <f t="shared" si="332"/>
        <v>1677.78</v>
      </c>
      <c r="L3395" s="189"/>
      <c r="M3395" s="138"/>
      <c r="N3395" s="138"/>
      <c r="O3395" s="138"/>
      <c r="S3395" s="72"/>
      <c r="T3395" s="72"/>
      <c r="U3395" s="72"/>
      <c r="V3395" s="72"/>
    </row>
    <row r="3396" spans="1:22" s="63" customFormat="1" ht="18" customHeight="1" x14ac:dyDescent="0.25">
      <c r="A3396" s="87">
        <v>31.13</v>
      </c>
      <c r="B3396" s="81" t="s">
        <v>104</v>
      </c>
      <c r="C3396" s="82">
        <v>5</v>
      </c>
      <c r="D3396" s="131" t="s">
        <v>3068</v>
      </c>
      <c r="E3396" s="83" t="s">
        <v>3069</v>
      </c>
      <c r="F3396" s="81" t="s">
        <v>216</v>
      </c>
      <c r="G3396" s="87">
        <v>0.03</v>
      </c>
      <c r="H3396" s="85"/>
      <c r="I3396" s="86">
        <v>76861.22</v>
      </c>
      <c r="J3396" s="185">
        <f t="shared" si="331"/>
        <v>2917139.5</v>
      </c>
      <c r="K3396" s="189">
        <f t="shared" si="332"/>
        <v>87514.19</v>
      </c>
      <c r="L3396" s="189"/>
      <c r="M3396" s="138"/>
      <c r="N3396" s="138"/>
      <c r="O3396" s="138"/>
      <c r="S3396" s="72"/>
      <c r="T3396" s="72"/>
      <c r="U3396" s="72"/>
      <c r="V3396" s="72"/>
    </row>
    <row r="3397" spans="1:22" s="63" customFormat="1" ht="22.5" x14ac:dyDescent="0.25">
      <c r="A3397" s="87">
        <v>31.14</v>
      </c>
      <c r="B3397" s="81" t="s">
        <v>104</v>
      </c>
      <c r="C3397" s="80">
        <v>5.0999999999999996</v>
      </c>
      <c r="D3397" s="131" t="s">
        <v>3070</v>
      </c>
      <c r="E3397" s="83" t="s">
        <v>3071</v>
      </c>
      <c r="F3397" s="81" t="s">
        <v>334</v>
      </c>
      <c r="G3397" s="82">
        <v>12</v>
      </c>
      <c r="H3397" s="85"/>
      <c r="I3397" s="86">
        <v>14753.23</v>
      </c>
      <c r="J3397" s="185">
        <f t="shared" si="331"/>
        <v>1399.84</v>
      </c>
      <c r="K3397" s="189">
        <f t="shared" si="332"/>
        <v>16798.080000000002</v>
      </c>
      <c r="L3397" s="189"/>
      <c r="M3397" s="138"/>
      <c r="N3397" s="138"/>
      <c r="O3397" s="138"/>
      <c r="S3397" s="72"/>
      <c r="T3397" s="72"/>
      <c r="U3397" s="72"/>
      <c r="V3397" s="72"/>
    </row>
    <row r="3398" spans="1:22" s="63" customFormat="1" ht="18" customHeight="1" x14ac:dyDescent="0.25">
      <c r="A3398" s="87">
        <v>31.15</v>
      </c>
      <c r="B3398" s="81" t="s">
        <v>104</v>
      </c>
      <c r="C3398" s="80">
        <v>5.2</v>
      </c>
      <c r="D3398" s="131" t="s">
        <v>3062</v>
      </c>
      <c r="E3398" s="83" t="s">
        <v>3063</v>
      </c>
      <c r="F3398" s="81" t="s">
        <v>226</v>
      </c>
      <c r="G3398" s="88">
        <v>0.3453</v>
      </c>
      <c r="H3398" s="85"/>
      <c r="I3398" s="86">
        <v>34421.1</v>
      </c>
      <c r="J3398" s="185">
        <f t="shared" si="331"/>
        <v>113500.91</v>
      </c>
      <c r="K3398" s="189">
        <f t="shared" si="332"/>
        <v>39191.86</v>
      </c>
      <c r="L3398" s="189"/>
      <c r="M3398" s="138"/>
      <c r="N3398" s="138"/>
      <c r="O3398" s="138"/>
      <c r="S3398" s="72"/>
      <c r="T3398" s="72"/>
      <c r="U3398" s="72"/>
      <c r="V3398" s="72"/>
    </row>
    <row r="3399" spans="1:22" s="63" customFormat="1" ht="18" customHeight="1" x14ac:dyDescent="0.25">
      <c r="A3399" s="87">
        <v>31.16</v>
      </c>
      <c r="B3399" s="81" t="s">
        <v>104</v>
      </c>
      <c r="C3399" s="80">
        <v>5.3</v>
      </c>
      <c r="D3399" s="131" t="s">
        <v>337</v>
      </c>
      <c r="E3399" s="83" t="s">
        <v>338</v>
      </c>
      <c r="F3399" s="81" t="s">
        <v>219</v>
      </c>
      <c r="G3399" s="82">
        <v>12</v>
      </c>
      <c r="H3399" s="85"/>
      <c r="I3399" s="86">
        <v>1307.49</v>
      </c>
      <c r="J3399" s="185">
        <f t="shared" si="331"/>
        <v>124.06</v>
      </c>
      <c r="K3399" s="189">
        <f t="shared" si="332"/>
        <v>1488.72</v>
      </c>
      <c r="L3399" s="189"/>
      <c r="M3399" s="138"/>
      <c r="N3399" s="138"/>
      <c r="O3399" s="138"/>
      <c r="S3399" s="72"/>
      <c r="T3399" s="72"/>
      <c r="U3399" s="72"/>
      <c r="V3399" s="72"/>
    </row>
    <row r="3400" spans="1:22" s="128" customFormat="1" ht="12.75" x14ac:dyDescent="0.25">
      <c r="A3400" s="237"/>
      <c r="B3400" s="125"/>
      <c r="C3400" s="236"/>
      <c r="D3400" s="77"/>
      <c r="E3400" s="126" t="s">
        <v>3417</v>
      </c>
      <c r="F3400" s="125"/>
      <c r="G3400" s="76"/>
      <c r="H3400" s="127"/>
      <c r="I3400" s="78"/>
      <c r="J3400" s="238"/>
      <c r="K3400" s="239"/>
      <c r="L3400" s="239"/>
      <c r="M3400" s="79"/>
      <c r="N3400" s="79"/>
      <c r="O3400" s="79"/>
      <c r="S3400" s="129"/>
      <c r="T3400" s="129"/>
      <c r="U3400" s="129"/>
      <c r="V3400" s="129"/>
    </row>
    <row r="3401" spans="1:22" s="63" customFormat="1" ht="15" x14ac:dyDescent="0.25">
      <c r="A3401" s="87">
        <v>31.17</v>
      </c>
      <c r="B3401" s="81" t="s">
        <v>104</v>
      </c>
      <c r="C3401" s="82">
        <v>6</v>
      </c>
      <c r="D3401" s="131" t="s">
        <v>2544</v>
      </c>
      <c r="E3401" s="83" t="s">
        <v>2545</v>
      </c>
      <c r="F3401" s="81" t="s">
        <v>566</v>
      </c>
      <c r="G3401" s="80">
        <v>0.1</v>
      </c>
      <c r="H3401" s="85"/>
      <c r="I3401" s="86">
        <v>352.85</v>
      </c>
      <c r="J3401" s="185">
        <f t="shared" ref="J3401:J3408" si="333">ROUND($I3401/$G3401*$N$11,2)</f>
        <v>4017.55</v>
      </c>
      <c r="K3401" s="189">
        <f t="shared" ref="K3401:K3408" si="334">ROUND(G3401*J3401,2)</f>
        <v>401.76</v>
      </c>
      <c r="L3401" s="189"/>
      <c r="M3401" s="138"/>
      <c r="N3401" s="138"/>
      <c r="O3401" s="138"/>
      <c r="S3401" s="72"/>
      <c r="T3401" s="72"/>
      <c r="U3401" s="72"/>
      <c r="V3401" s="72"/>
    </row>
    <row r="3402" spans="1:22" s="63" customFormat="1" ht="22.5" x14ac:dyDescent="0.25">
      <c r="A3402" s="87">
        <v>31.18</v>
      </c>
      <c r="B3402" s="81" t="s">
        <v>104</v>
      </c>
      <c r="C3402" s="80">
        <v>6.1</v>
      </c>
      <c r="D3402" s="131" t="s">
        <v>3060</v>
      </c>
      <c r="E3402" s="83" t="s">
        <v>3061</v>
      </c>
      <c r="F3402" s="81" t="s">
        <v>334</v>
      </c>
      <c r="G3402" s="84">
        <v>1.865</v>
      </c>
      <c r="H3402" s="85"/>
      <c r="I3402" s="86">
        <v>1242.4000000000001</v>
      </c>
      <c r="J3402" s="185">
        <f t="shared" si="333"/>
        <v>758.5</v>
      </c>
      <c r="K3402" s="189">
        <f t="shared" si="334"/>
        <v>1414.6</v>
      </c>
      <c r="L3402" s="189"/>
      <c r="M3402" s="138"/>
      <c r="N3402" s="138"/>
      <c r="O3402" s="138"/>
      <c r="S3402" s="72"/>
      <c r="T3402" s="72"/>
      <c r="U3402" s="72"/>
      <c r="V3402" s="72"/>
    </row>
    <row r="3403" spans="1:22" s="63" customFormat="1" ht="18" customHeight="1" x14ac:dyDescent="0.25">
      <c r="A3403" s="87">
        <v>31.19</v>
      </c>
      <c r="B3403" s="81" t="s">
        <v>104</v>
      </c>
      <c r="C3403" s="80">
        <v>6.2</v>
      </c>
      <c r="D3403" s="131" t="s">
        <v>3062</v>
      </c>
      <c r="E3403" s="83" t="s">
        <v>3063</v>
      </c>
      <c r="F3403" s="81" t="s">
        <v>226</v>
      </c>
      <c r="G3403" s="88">
        <v>2.3900000000000001E-2</v>
      </c>
      <c r="H3403" s="85"/>
      <c r="I3403" s="86">
        <v>2382.5</v>
      </c>
      <c r="J3403" s="185">
        <f t="shared" si="333"/>
        <v>113502.7</v>
      </c>
      <c r="K3403" s="189">
        <f t="shared" si="334"/>
        <v>2712.71</v>
      </c>
      <c r="L3403" s="189"/>
      <c r="M3403" s="138"/>
      <c r="N3403" s="138"/>
      <c r="O3403" s="138"/>
      <c r="S3403" s="72"/>
      <c r="T3403" s="72"/>
      <c r="U3403" s="72"/>
      <c r="V3403" s="72"/>
    </row>
    <row r="3404" spans="1:22" s="63" customFormat="1" ht="18" customHeight="1" x14ac:dyDescent="0.25">
      <c r="A3404" s="87">
        <v>31.2</v>
      </c>
      <c r="B3404" s="81" t="s">
        <v>104</v>
      </c>
      <c r="C3404" s="80">
        <v>6.3</v>
      </c>
      <c r="D3404" s="131" t="s">
        <v>337</v>
      </c>
      <c r="E3404" s="83" t="s">
        <v>338</v>
      </c>
      <c r="F3404" s="81" t="s">
        <v>219</v>
      </c>
      <c r="G3404" s="82">
        <v>2</v>
      </c>
      <c r="H3404" s="85"/>
      <c r="I3404" s="86">
        <v>217.92</v>
      </c>
      <c r="J3404" s="185">
        <f t="shared" si="333"/>
        <v>124.06</v>
      </c>
      <c r="K3404" s="189">
        <f t="shared" si="334"/>
        <v>248.12</v>
      </c>
      <c r="L3404" s="189"/>
      <c r="M3404" s="138"/>
      <c r="N3404" s="138"/>
      <c r="O3404" s="138"/>
      <c r="S3404" s="72"/>
      <c r="T3404" s="72"/>
      <c r="U3404" s="72"/>
      <c r="V3404" s="72"/>
    </row>
    <row r="3405" spans="1:22" s="63" customFormat="1" ht="33.75" x14ac:dyDescent="0.25">
      <c r="A3405" s="87">
        <v>31.21</v>
      </c>
      <c r="B3405" s="81" t="s">
        <v>104</v>
      </c>
      <c r="C3405" s="82">
        <v>7</v>
      </c>
      <c r="D3405" s="131" t="s">
        <v>3072</v>
      </c>
      <c r="E3405" s="83" t="s">
        <v>3073</v>
      </c>
      <c r="F3405" s="81" t="s">
        <v>207</v>
      </c>
      <c r="G3405" s="87">
        <v>0.35</v>
      </c>
      <c r="H3405" s="85"/>
      <c r="I3405" s="86">
        <v>169934.88</v>
      </c>
      <c r="J3405" s="185">
        <f t="shared" si="333"/>
        <v>552822.43999999994</v>
      </c>
      <c r="K3405" s="189">
        <f t="shared" si="334"/>
        <v>193487.85</v>
      </c>
      <c r="L3405" s="189"/>
      <c r="M3405" s="138"/>
      <c r="N3405" s="138"/>
      <c r="O3405" s="138"/>
      <c r="S3405" s="72"/>
      <c r="T3405" s="72"/>
      <c r="U3405" s="72"/>
      <c r="V3405" s="72"/>
    </row>
    <row r="3406" spans="1:22" s="63" customFormat="1" ht="22.5" x14ac:dyDescent="0.25">
      <c r="A3406" s="87">
        <v>31.22</v>
      </c>
      <c r="B3406" s="81" t="s">
        <v>104</v>
      </c>
      <c r="C3406" s="80">
        <v>7.1</v>
      </c>
      <c r="D3406" s="131" t="s">
        <v>3074</v>
      </c>
      <c r="E3406" s="83" t="s">
        <v>3075</v>
      </c>
      <c r="F3406" s="81" t="s">
        <v>219</v>
      </c>
      <c r="G3406" s="82">
        <v>7</v>
      </c>
      <c r="H3406" s="85"/>
      <c r="I3406" s="86">
        <v>7110.84</v>
      </c>
      <c r="J3406" s="185">
        <f t="shared" si="333"/>
        <v>1156.6300000000001</v>
      </c>
      <c r="K3406" s="189">
        <f t="shared" si="334"/>
        <v>8096.41</v>
      </c>
      <c r="L3406" s="189"/>
      <c r="M3406" s="138"/>
      <c r="N3406" s="138"/>
      <c r="O3406" s="138"/>
      <c r="S3406" s="72"/>
      <c r="T3406" s="72"/>
      <c r="U3406" s="72"/>
      <c r="V3406" s="72"/>
    </row>
    <row r="3407" spans="1:22" s="63" customFormat="1" ht="33.75" x14ac:dyDescent="0.25">
      <c r="A3407" s="87">
        <v>31.23</v>
      </c>
      <c r="B3407" s="81" t="s">
        <v>104</v>
      </c>
      <c r="C3407" s="82">
        <v>8</v>
      </c>
      <c r="D3407" s="131" t="s">
        <v>3076</v>
      </c>
      <c r="E3407" s="83" t="s">
        <v>3077</v>
      </c>
      <c r="F3407" s="81" t="s">
        <v>207</v>
      </c>
      <c r="G3407" s="84">
        <v>8.5139999999999993</v>
      </c>
      <c r="H3407" s="85"/>
      <c r="I3407" s="86">
        <v>561851.41</v>
      </c>
      <c r="J3407" s="185">
        <f t="shared" si="333"/>
        <v>75137.89</v>
      </c>
      <c r="K3407" s="189">
        <f t="shared" si="334"/>
        <v>639724</v>
      </c>
      <c r="L3407" s="189"/>
      <c r="M3407" s="138"/>
      <c r="N3407" s="138"/>
      <c r="O3407" s="138"/>
      <c r="S3407" s="72"/>
      <c r="T3407" s="72"/>
      <c r="U3407" s="72"/>
      <c r="V3407" s="72"/>
    </row>
    <row r="3408" spans="1:22" s="63" customFormat="1" ht="18.75" customHeight="1" x14ac:dyDescent="0.25">
      <c r="A3408" s="87">
        <v>31.24</v>
      </c>
      <c r="B3408" s="81" t="s">
        <v>104</v>
      </c>
      <c r="C3408" s="80">
        <v>8.1</v>
      </c>
      <c r="D3408" s="131" t="s">
        <v>3078</v>
      </c>
      <c r="E3408" s="83" t="s">
        <v>3079</v>
      </c>
      <c r="F3408" s="81" t="s">
        <v>226</v>
      </c>
      <c r="G3408" s="90">
        <v>0.20944399999999999</v>
      </c>
      <c r="H3408" s="85"/>
      <c r="I3408" s="86">
        <v>26456.54</v>
      </c>
      <c r="J3408" s="185">
        <f t="shared" si="333"/>
        <v>143825.64000000001</v>
      </c>
      <c r="K3408" s="189">
        <f t="shared" si="334"/>
        <v>30123.42</v>
      </c>
      <c r="L3408" s="189"/>
      <c r="M3408" s="138"/>
      <c r="N3408" s="138"/>
      <c r="O3408" s="138"/>
      <c r="S3408" s="72"/>
      <c r="T3408" s="72"/>
      <c r="U3408" s="72"/>
      <c r="V3408" s="72"/>
    </row>
    <row r="3409" spans="1:22" s="128" customFormat="1" ht="12.75" x14ac:dyDescent="0.25">
      <c r="A3409" s="237"/>
      <c r="B3409" s="125"/>
      <c r="C3409" s="236"/>
      <c r="D3409" s="77"/>
      <c r="E3409" s="126" t="s">
        <v>3419</v>
      </c>
      <c r="F3409" s="125"/>
      <c r="G3409" s="247"/>
      <c r="H3409" s="127"/>
      <c r="I3409" s="78"/>
      <c r="J3409" s="238"/>
      <c r="K3409" s="239"/>
      <c r="L3409" s="239"/>
      <c r="M3409" s="79"/>
      <c r="N3409" s="79"/>
      <c r="O3409" s="79"/>
      <c r="S3409" s="129"/>
      <c r="T3409" s="129"/>
      <c r="U3409" s="129"/>
      <c r="V3409" s="129"/>
    </row>
    <row r="3410" spans="1:22" s="128" customFormat="1" ht="12.75" x14ac:dyDescent="0.25">
      <c r="A3410" s="237"/>
      <c r="B3410" s="125"/>
      <c r="C3410" s="236"/>
      <c r="D3410" s="77"/>
      <c r="E3410" s="218" t="s">
        <v>3418</v>
      </c>
      <c r="F3410" s="125"/>
      <c r="G3410" s="247"/>
      <c r="H3410" s="127"/>
      <c r="I3410" s="78"/>
      <c r="J3410" s="238"/>
      <c r="K3410" s="239"/>
      <c r="L3410" s="239"/>
      <c r="M3410" s="79"/>
      <c r="N3410" s="79"/>
      <c r="O3410" s="79"/>
      <c r="S3410" s="129"/>
      <c r="T3410" s="129"/>
      <c r="U3410" s="129"/>
      <c r="V3410" s="129"/>
    </row>
    <row r="3411" spans="1:22" s="63" customFormat="1" ht="22.5" x14ac:dyDescent="0.25">
      <c r="A3411" s="87">
        <v>31.25</v>
      </c>
      <c r="B3411" s="81" t="s">
        <v>104</v>
      </c>
      <c r="C3411" s="82">
        <v>9</v>
      </c>
      <c r="D3411" s="131" t="s">
        <v>2538</v>
      </c>
      <c r="E3411" s="83" t="s">
        <v>2539</v>
      </c>
      <c r="F3411" s="81" t="s">
        <v>216</v>
      </c>
      <c r="G3411" s="87">
        <v>0.36</v>
      </c>
      <c r="H3411" s="85"/>
      <c r="I3411" s="86">
        <v>37743.25</v>
      </c>
      <c r="J3411" s="185">
        <f>ROUND($I3411/$G3411*$N$11,2)</f>
        <v>119373.51</v>
      </c>
      <c r="K3411" s="189">
        <f>ROUND(G3411*J3411,2)</f>
        <v>42974.46</v>
      </c>
      <c r="L3411" s="189"/>
      <c r="M3411" s="138"/>
      <c r="N3411" s="138"/>
      <c r="O3411" s="138"/>
      <c r="S3411" s="72"/>
      <c r="T3411" s="72"/>
      <c r="U3411" s="72"/>
      <c r="V3411" s="72"/>
    </row>
    <row r="3412" spans="1:22" s="63" customFormat="1" ht="16.5" customHeight="1" x14ac:dyDescent="0.25">
      <c r="A3412" s="87">
        <v>31.26</v>
      </c>
      <c r="B3412" s="81" t="s">
        <v>104</v>
      </c>
      <c r="C3412" s="80">
        <v>9.1</v>
      </c>
      <c r="D3412" s="131" t="s">
        <v>3080</v>
      </c>
      <c r="E3412" s="83" t="s">
        <v>3081</v>
      </c>
      <c r="F3412" s="81" t="s">
        <v>205</v>
      </c>
      <c r="G3412" s="80">
        <v>5.4</v>
      </c>
      <c r="H3412" s="85"/>
      <c r="I3412" s="86">
        <v>32023.77</v>
      </c>
      <c r="J3412" s="185">
        <f>ROUND($I3412/$G3412*$N$11,2)</f>
        <v>6752.27</v>
      </c>
      <c r="K3412" s="189">
        <f>ROUND(G3412*J3412,2)</f>
        <v>36462.26</v>
      </c>
      <c r="L3412" s="189"/>
      <c r="M3412" s="138"/>
      <c r="N3412" s="138"/>
      <c r="O3412" s="138"/>
      <c r="S3412" s="72"/>
      <c r="T3412" s="72"/>
      <c r="U3412" s="72"/>
      <c r="V3412" s="72"/>
    </row>
    <row r="3413" spans="1:22" s="63" customFormat="1" ht="22.5" x14ac:dyDescent="0.25">
      <c r="A3413" s="87">
        <v>31.27</v>
      </c>
      <c r="B3413" s="81" t="s">
        <v>104</v>
      </c>
      <c r="C3413" s="82">
        <v>10</v>
      </c>
      <c r="D3413" s="131" t="s">
        <v>2540</v>
      </c>
      <c r="E3413" s="83" t="s">
        <v>2541</v>
      </c>
      <c r="F3413" s="81" t="s">
        <v>566</v>
      </c>
      <c r="G3413" s="80">
        <v>3.6</v>
      </c>
      <c r="H3413" s="85"/>
      <c r="I3413" s="86">
        <v>26089.1</v>
      </c>
      <c r="J3413" s="185">
        <f>ROUND($I3413/$G3413*$N$11,2)</f>
        <v>8251.4</v>
      </c>
      <c r="K3413" s="189">
        <f>ROUND(G3413*J3413,2)</f>
        <v>29705.040000000001</v>
      </c>
      <c r="L3413" s="189"/>
      <c r="M3413" s="138"/>
      <c r="N3413" s="138"/>
      <c r="O3413" s="138"/>
      <c r="S3413" s="72"/>
      <c r="T3413" s="72"/>
      <c r="U3413" s="72"/>
      <c r="V3413" s="72"/>
    </row>
    <row r="3414" spans="1:22" s="63" customFormat="1" ht="78.75" x14ac:dyDescent="0.25">
      <c r="A3414" s="87">
        <v>31.28</v>
      </c>
      <c r="B3414" s="81" t="s">
        <v>104</v>
      </c>
      <c r="C3414" s="80">
        <v>10.1</v>
      </c>
      <c r="D3414" s="131" t="s">
        <v>3082</v>
      </c>
      <c r="E3414" s="83" t="s">
        <v>4107</v>
      </c>
      <c r="F3414" s="81" t="s">
        <v>219</v>
      </c>
      <c r="G3414" s="82">
        <v>36</v>
      </c>
      <c r="H3414" s="85"/>
      <c r="I3414" s="86">
        <v>367611.22</v>
      </c>
      <c r="J3414" s="185">
        <f>ROUND($I3414/$G3414*$N$11,2)</f>
        <v>11626.73</v>
      </c>
      <c r="K3414" s="189">
        <f>ROUND(G3414*J3414,2)</f>
        <v>418562.28</v>
      </c>
      <c r="L3414" s="189"/>
      <c r="M3414" s="138"/>
      <c r="N3414" s="138"/>
      <c r="O3414" s="138"/>
      <c r="S3414" s="72"/>
      <c r="T3414" s="72"/>
      <c r="U3414" s="72"/>
      <c r="V3414" s="72"/>
    </row>
    <row r="3415" spans="1:22" s="128" customFormat="1" ht="12.75" x14ac:dyDescent="0.25">
      <c r="A3415" s="237"/>
      <c r="B3415" s="125"/>
      <c r="C3415" s="236"/>
      <c r="D3415" s="77"/>
      <c r="E3415" s="126" t="s">
        <v>3420</v>
      </c>
      <c r="F3415" s="125"/>
      <c r="G3415" s="76"/>
      <c r="H3415" s="127"/>
      <c r="I3415" s="78"/>
      <c r="J3415" s="238"/>
      <c r="K3415" s="239"/>
      <c r="L3415" s="239"/>
      <c r="M3415" s="79"/>
      <c r="N3415" s="79"/>
      <c r="O3415" s="79"/>
      <c r="S3415" s="129"/>
      <c r="T3415" s="129"/>
      <c r="U3415" s="129"/>
      <c r="V3415" s="129"/>
    </row>
    <row r="3416" spans="1:22" s="63" customFormat="1" ht="15" x14ac:dyDescent="0.25">
      <c r="A3416" s="87">
        <v>31.29</v>
      </c>
      <c r="B3416" s="81" t="s">
        <v>104</v>
      </c>
      <c r="C3416" s="82">
        <v>11</v>
      </c>
      <c r="D3416" s="131" t="s">
        <v>3068</v>
      </c>
      <c r="E3416" s="83" t="s">
        <v>3069</v>
      </c>
      <c r="F3416" s="81" t="s">
        <v>216</v>
      </c>
      <c r="G3416" s="87">
        <v>0.02</v>
      </c>
      <c r="H3416" s="85"/>
      <c r="I3416" s="86">
        <v>51240.33</v>
      </c>
      <c r="J3416" s="185">
        <f>ROUND($I3416/$G3416*$N$11,2)</f>
        <v>2917111.99</v>
      </c>
      <c r="K3416" s="189">
        <f>ROUND(G3416*J3416,2)</f>
        <v>58342.239999999998</v>
      </c>
      <c r="L3416" s="189"/>
      <c r="M3416" s="138"/>
      <c r="N3416" s="138"/>
      <c r="O3416" s="138"/>
      <c r="S3416" s="72"/>
      <c r="T3416" s="72"/>
      <c r="U3416" s="72"/>
      <c r="V3416" s="72"/>
    </row>
    <row r="3417" spans="1:22" s="63" customFormat="1" ht="16.5" customHeight="1" x14ac:dyDescent="0.25">
      <c r="A3417" s="87">
        <v>31.3</v>
      </c>
      <c r="B3417" s="81" t="s">
        <v>104</v>
      </c>
      <c r="C3417" s="80">
        <v>11.1</v>
      </c>
      <c r="D3417" s="131" t="s">
        <v>3083</v>
      </c>
      <c r="E3417" s="83" t="s">
        <v>3084</v>
      </c>
      <c r="F3417" s="81" t="s">
        <v>205</v>
      </c>
      <c r="G3417" s="80">
        <v>0.3</v>
      </c>
      <c r="H3417" s="85"/>
      <c r="I3417" s="86">
        <v>1796.51</v>
      </c>
      <c r="J3417" s="185">
        <f>ROUND($I3417/$G3417*$N$11,2)</f>
        <v>6818.35</v>
      </c>
      <c r="K3417" s="189">
        <f>ROUND(G3417*J3417,2)</f>
        <v>2045.51</v>
      </c>
      <c r="L3417" s="189"/>
      <c r="M3417" s="138"/>
      <c r="N3417" s="138"/>
      <c r="O3417" s="138"/>
      <c r="S3417" s="72"/>
      <c r="T3417" s="72"/>
      <c r="U3417" s="72"/>
      <c r="V3417" s="72"/>
    </row>
    <row r="3418" spans="1:22" s="63" customFormat="1" ht="22.5" x14ac:dyDescent="0.25">
      <c r="A3418" s="87">
        <v>31.31</v>
      </c>
      <c r="B3418" s="81" t="s">
        <v>104</v>
      </c>
      <c r="C3418" s="80">
        <v>11.2</v>
      </c>
      <c r="D3418" s="131" t="s">
        <v>3085</v>
      </c>
      <c r="E3418" s="83" t="s">
        <v>4108</v>
      </c>
      <c r="F3418" s="81" t="s">
        <v>219</v>
      </c>
      <c r="G3418" s="82">
        <v>2</v>
      </c>
      <c r="H3418" s="85"/>
      <c r="I3418" s="86">
        <v>317022.13</v>
      </c>
      <c r="J3418" s="185">
        <f>ROUND($I3418/$G3418*$N$11,2)</f>
        <v>180480.7</v>
      </c>
      <c r="K3418" s="189">
        <f>ROUND(G3418*J3418,2)</f>
        <v>360961.4</v>
      </c>
      <c r="L3418" s="189"/>
      <c r="M3418" s="138"/>
      <c r="N3418" s="138"/>
      <c r="O3418" s="138"/>
      <c r="S3418" s="72"/>
      <c r="T3418" s="72"/>
      <c r="U3418" s="72"/>
      <c r="V3418" s="72"/>
    </row>
    <row r="3419" spans="1:22" s="63" customFormat="1" ht="15" x14ac:dyDescent="0.25">
      <c r="A3419" s="87">
        <v>31.32</v>
      </c>
      <c r="B3419" s="81" t="s">
        <v>104</v>
      </c>
      <c r="C3419" s="82">
        <v>12</v>
      </c>
      <c r="D3419" s="131" t="s">
        <v>3086</v>
      </c>
      <c r="E3419" s="83" t="s">
        <v>3087</v>
      </c>
      <c r="F3419" s="81" t="s">
        <v>216</v>
      </c>
      <c r="G3419" s="87">
        <v>0.01</v>
      </c>
      <c r="H3419" s="85"/>
      <c r="I3419" s="86">
        <v>10093.24</v>
      </c>
      <c r="J3419" s="185">
        <f>ROUND($I3419/$G3419*$N$11,2)</f>
        <v>1149216.31</v>
      </c>
      <c r="K3419" s="189">
        <f>ROUND(G3419*J3419,2)</f>
        <v>11492.16</v>
      </c>
      <c r="L3419" s="189"/>
      <c r="M3419" s="138"/>
      <c r="N3419" s="138"/>
      <c r="O3419" s="138"/>
      <c r="S3419" s="72"/>
      <c r="T3419" s="72"/>
      <c r="U3419" s="72"/>
      <c r="V3419" s="72"/>
    </row>
    <row r="3420" spans="1:22" s="63" customFormat="1" ht="16.5" customHeight="1" x14ac:dyDescent="0.25">
      <c r="A3420" s="87">
        <v>31.33</v>
      </c>
      <c r="B3420" s="81" t="s">
        <v>104</v>
      </c>
      <c r="C3420" s="80">
        <v>12.1</v>
      </c>
      <c r="D3420" s="131" t="s">
        <v>3083</v>
      </c>
      <c r="E3420" s="83" t="s">
        <v>3084</v>
      </c>
      <c r="F3420" s="81" t="s">
        <v>205</v>
      </c>
      <c r="G3420" s="87">
        <v>0.15</v>
      </c>
      <c r="H3420" s="85"/>
      <c r="I3420" s="86">
        <v>898.21</v>
      </c>
      <c r="J3420" s="185">
        <f>ROUND($I3420/$G3420*$N$11,2)</f>
        <v>6818.01</v>
      </c>
      <c r="K3420" s="189">
        <f>ROUND(G3420*J3420,2)</f>
        <v>1022.7</v>
      </c>
      <c r="L3420" s="189"/>
      <c r="M3420" s="138"/>
      <c r="N3420" s="138"/>
      <c r="O3420" s="138"/>
      <c r="S3420" s="72"/>
      <c r="T3420" s="72"/>
      <c r="U3420" s="72"/>
      <c r="V3420" s="72"/>
    </row>
    <row r="3421" spans="1:22" s="128" customFormat="1" ht="12.75" x14ac:dyDescent="0.25">
      <c r="A3421" s="237"/>
      <c r="B3421" s="125"/>
      <c r="C3421" s="236"/>
      <c r="D3421" s="77"/>
      <c r="E3421" s="126" t="s">
        <v>3421</v>
      </c>
      <c r="F3421" s="125"/>
      <c r="G3421" s="237"/>
      <c r="H3421" s="127"/>
      <c r="I3421" s="78"/>
      <c r="J3421" s="238"/>
      <c r="K3421" s="239"/>
      <c r="L3421" s="239"/>
      <c r="M3421" s="79"/>
      <c r="N3421" s="79"/>
      <c r="O3421" s="79"/>
      <c r="S3421" s="129"/>
      <c r="T3421" s="129"/>
      <c r="U3421" s="129"/>
      <c r="V3421" s="129"/>
    </row>
    <row r="3422" spans="1:22" s="63" customFormat="1" ht="22.5" x14ac:dyDescent="0.25">
      <c r="A3422" s="87">
        <v>31.34</v>
      </c>
      <c r="B3422" s="81" t="s">
        <v>104</v>
      </c>
      <c r="C3422" s="82">
        <v>13</v>
      </c>
      <c r="D3422" s="131" t="s">
        <v>2538</v>
      </c>
      <c r="E3422" s="83" t="s">
        <v>2539</v>
      </c>
      <c r="F3422" s="81" t="s">
        <v>216</v>
      </c>
      <c r="G3422" s="87">
        <v>7.0000000000000007E-2</v>
      </c>
      <c r="H3422" s="85"/>
      <c r="I3422" s="86">
        <v>7339.77</v>
      </c>
      <c r="J3422" s="185">
        <f t="shared" ref="J3422:J3430" si="335">ROUND($I3422/$G3422*$N$11,2)</f>
        <v>119386.6</v>
      </c>
      <c r="K3422" s="189">
        <f t="shared" ref="K3422:K3430" si="336">ROUND(G3422*J3422,2)</f>
        <v>8357.06</v>
      </c>
      <c r="L3422" s="189"/>
      <c r="M3422" s="138"/>
      <c r="N3422" s="138"/>
      <c r="O3422" s="138"/>
      <c r="S3422" s="72"/>
      <c r="T3422" s="72"/>
      <c r="U3422" s="72"/>
      <c r="V3422" s="72"/>
    </row>
    <row r="3423" spans="1:22" s="63" customFormat="1" ht="16.5" customHeight="1" x14ac:dyDescent="0.25">
      <c r="A3423" s="87">
        <v>31.35</v>
      </c>
      <c r="B3423" s="81" t="s">
        <v>104</v>
      </c>
      <c r="C3423" s="80">
        <v>13.1</v>
      </c>
      <c r="D3423" s="131" t="s">
        <v>3080</v>
      </c>
      <c r="E3423" s="83" t="s">
        <v>3081</v>
      </c>
      <c r="F3423" s="81" t="s">
        <v>205</v>
      </c>
      <c r="G3423" s="88">
        <v>0.44379999999999997</v>
      </c>
      <c r="H3423" s="85"/>
      <c r="I3423" s="86">
        <v>2631.85</v>
      </c>
      <c r="J3423" s="185">
        <f t="shared" si="335"/>
        <v>6752.2</v>
      </c>
      <c r="K3423" s="189">
        <f t="shared" si="336"/>
        <v>2996.63</v>
      </c>
      <c r="L3423" s="189"/>
      <c r="M3423" s="138"/>
      <c r="N3423" s="138"/>
      <c r="O3423" s="138"/>
      <c r="S3423" s="72"/>
      <c r="T3423" s="72"/>
      <c r="U3423" s="72"/>
      <c r="V3423" s="72"/>
    </row>
    <row r="3424" spans="1:22" s="63" customFormat="1" ht="22.5" x14ac:dyDescent="0.25">
      <c r="A3424" s="87">
        <v>31.36</v>
      </c>
      <c r="B3424" s="81" t="s">
        <v>104</v>
      </c>
      <c r="C3424" s="82">
        <v>14</v>
      </c>
      <c r="D3424" s="131" t="s">
        <v>305</v>
      </c>
      <c r="E3424" s="83" t="s">
        <v>306</v>
      </c>
      <c r="F3424" s="81" t="s">
        <v>226</v>
      </c>
      <c r="G3424" s="87">
        <v>0.74</v>
      </c>
      <c r="H3424" s="85"/>
      <c r="I3424" s="86">
        <v>53274.98</v>
      </c>
      <c r="J3424" s="185">
        <f t="shared" si="335"/>
        <v>81971.48</v>
      </c>
      <c r="K3424" s="189">
        <f t="shared" si="336"/>
        <v>60658.9</v>
      </c>
      <c r="L3424" s="189"/>
      <c r="M3424" s="138"/>
      <c r="N3424" s="138"/>
      <c r="O3424" s="138"/>
      <c r="S3424" s="72"/>
      <c r="T3424" s="72"/>
      <c r="U3424" s="72"/>
      <c r="V3424" s="72"/>
    </row>
    <row r="3425" spans="1:22" s="63" customFormat="1" ht="22.5" x14ac:dyDescent="0.25">
      <c r="A3425" s="87">
        <v>31.37</v>
      </c>
      <c r="B3425" s="81" t="s">
        <v>104</v>
      </c>
      <c r="C3425" s="80">
        <v>14.1</v>
      </c>
      <c r="D3425" s="131" t="s">
        <v>3062</v>
      </c>
      <c r="E3425" s="83" t="s">
        <v>3063</v>
      </c>
      <c r="F3425" s="81" t="s">
        <v>226</v>
      </c>
      <c r="G3425" s="87">
        <v>0.74</v>
      </c>
      <c r="H3425" s="85"/>
      <c r="I3425" s="86">
        <v>73766.69</v>
      </c>
      <c r="J3425" s="185">
        <f t="shared" si="335"/>
        <v>113501.02</v>
      </c>
      <c r="K3425" s="189">
        <f t="shared" si="336"/>
        <v>83990.75</v>
      </c>
      <c r="L3425" s="189"/>
      <c r="M3425" s="138"/>
      <c r="N3425" s="138"/>
      <c r="O3425" s="138"/>
      <c r="S3425" s="72"/>
      <c r="T3425" s="72"/>
      <c r="U3425" s="72"/>
      <c r="V3425" s="72"/>
    </row>
    <row r="3426" spans="1:22" s="63" customFormat="1" ht="15" x14ac:dyDescent="0.25">
      <c r="A3426" s="87">
        <v>31.38</v>
      </c>
      <c r="B3426" s="81" t="s">
        <v>104</v>
      </c>
      <c r="C3426" s="82">
        <v>15</v>
      </c>
      <c r="D3426" s="131" t="s">
        <v>2816</v>
      </c>
      <c r="E3426" s="83" t="s">
        <v>2817</v>
      </c>
      <c r="F3426" s="81" t="s">
        <v>207</v>
      </c>
      <c r="G3426" s="89">
        <v>0.27265</v>
      </c>
      <c r="H3426" s="85"/>
      <c r="I3426" s="86">
        <v>1948.02</v>
      </c>
      <c r="J3426" s="185">
        <f t="shared" si="335"/>
        <v>8135.03</v>
      </c>
      <c r="K3426" s="189">
        <f t="shared" si="336"/>
        <v>2218.02</v>
      </c>
      <c r="L3426" s="189"/>
      <c r="M3426" s="138"/>
      <c r="N3426" s="138"/>
      <c r="O3426" s="138"/>
      <c r="S3426" s="72"/>
      <c r="T3426" s="72"/>
      <c r="U3426" s="72"/>
      <c r="V3426" s="72"/>
    </row>
    <row r="3427" spans="1:22" s="63" customFormat="1" ht="22.5" x14ac:dyDescent="0.25">
      <c r="A3427" s="87">
        <v>31.39</v>
      </c>
      <c r="B3427" s="81" t="s">
        <v>104</v>
      </c>
      <c r="C3427" s="82">
        <v>16</v>
      </c>
      <c r="D3427" s="131" t="s">
        <v>311</v>
      </c>
      <c r="E3427" s="83" t="s">
        <v>312</v>
      </c>
      <c r="F3427" s="81" t="s">
        <v>207</v>
      </c>
      <c r="G3427" s="80">
        <v>0.1</v>
      </c>
      <c r="H3427" s="85"/>
      <c r="I3427" s="86">
        <v>4394.99</v>
      </c>
      <c r="J3427" s="185">
        <f t="shared" si="335"/>
        <v>50041.36</v>
      </c>
      <c r="K3427" s="189">
        <f t="shared" si="336"/>
        <v>5004.1400000000003</v>
      </c>
      <c r="L3427" s="189"/>
      <c r="M3427" s="138"/>
      <c r="N3427" s="138"/>
      <c r="O3427" s="138"/>
      <c r="S3427" s="72"/>
      <c r="T3427" s="72"/>
      <c r="U3427" s="72"/>
      <c r="V3427" s="72"/>
    </row>
    <row r="3428" spans="1:22" s="63" customFormat="1" ht="14.25" customHeight="1" x14ac:dyDescent="0.25">
      <c r="A3428" s="87">
        <v>31.4</v>
      </c>
      <c r="B3428" s="81" t="s">
        <v>104</v>
      </c>
      <c r="C3428" s="80">
        <v>16.100000000000001</v>
      </c>
      <c r="D3428" s="131" t="s">
        <v>3088</v>
      </c>
      <c r="E3428" s="83" t="s">
        <v>3089</v>
      </c>
      <c r="F3428" s="81" t="s">
        <v>226</v>
      </c>
      <c r="G3428" s="84">
        <v>9.4E-2</v>
      </c>
      <c r="H3428" s="85"/>
      <c r="I3428" s="86">
        <v>8720.7800000000007</v>
      </c>
      <c r="J3428" s="185">
        <f t="shared" si="335"/>
        <v>105632.77</v>
      </c>
      <c r="K3428" s="189">
        <f t="shared" si="336"/>
        <v>9929.48</v>
      </c>
      <c r="L3428" s="189"/>
      <c r="M3428" s="138"/>
      <c r="N3428" s="138"/>
      <c r="O3428" s="138"/>
      <c r="S3428" s="72"/>
      <c r="T3428" s="72"/>
      <c r="U3428" s="72"/>
      <c r="V3428" s="72"/>
    </row>
    <row r="3429" spans="1:22" s="63" customFormat="1" ht="14.25" customHeight="1" x14ac:dyDescent="0.25">
      <c r="A3429" s="87">
        <v>31.41</v>
      </c>
      <c r="B3429" s="81" t="s">
        <v>104</v>
      </c>
      <c r="C3429" s="82">
        <v>17</v>
      </c>
      <c r="D3429" s="131" t="s">
        <v>3090</v>
      </c>
      <c r="E3429" s="83" t="s">
        <v>3091</v>
      </c>
      <c r="F3429" s="81" t="s">
        <v>207</v>
      </c>
      <c r="G3429" s="84">
        <v>0.34300000000000003</v>
      </c>
      <c r="H3429" s="85"/>
      <c r="I3429" s="86">
        <v>10779.87</v>
      </c>
      <c r="J3429" s="185">
        <f t="shared" si="335"/>
        <v>35784.14</v>
      </c>
      <c r="K3429" s="189">
        <f t="shared" si="336"/>
        <v>12273.96</v>
      </c>
      <c r="L3429" s="189"/>
      <c r="M3429" s="138"/>
      <c r="N3429" s="138"/>
      <c r="O3429" s="138"/>
      <c r="S3429" s="72"/>
      <c r="T3429" s="72"/>
      <c r="U3429" s="72"/>
      <c r="V3429" s="72"/>
    </row>
    <row r="3430" spans="1:22" s="63" customFormat="1" ht="14.25" customHeight="1" x14ac:dyDescent="0.25">
      <c r="A3430" s="87">
        <v>31.42</v>
      </c>
      <c r="B3430" s="81" t="s">
        <v>104</v>
      </c>
      <c r="C3430" s="80">
        <v>17.100000000000001</v>
      </c>
      <c r="D3430" s="131" t="s">
        <v>3092</v>
      </c>
      <c r="E3430" s="83" t="s">
        <v>3093</v>
      </c>
      <c r="F3430" s="81" t="s">
        <v>226</v>
      </c>
      <c r="G3430" s="89">
        <v>0.19208</v>
      </c>
      <c r="H3430" s="85"/>
      <c r="I3430" s="86">
        <v>18310.38</v>
      </c>
      <c r="J3430" s="185">
        <f t="shared" si="335"/>
        <v>108539.14</v>
      </c>
      <c r="K3430" s="189">
        <f t="shared" si="336"/>
        <v>20848.2</v>
      </c>
      <c r="L3430" s="189"/>
      <c r="M3430" s="138"/>
      <c r="N3430" s="138"/>
      <c r="O3430" s="138"/>
      <c r="S3430" s="72"/>
      <c r="T3430" s="72"/>
      <c r="U3430" s="72"/>
      <c r="V3430" s="72"/>
    </row>
    <row r="3431" spans="1:22" s="63" customFormat="1" ht="15" x14ac:dyDescent="0.25">
      <c r="A3431" s="194">
        <v>32</v>
      </c>
      <c r="B3431" s="418" t="s">
        <v>3094</v>
      </c>
      <c r="C3431" s="418"/>
      <c r="D3431" s="418"/>
      <c r="E3431" s="195" t="s">
        <v>3422</v>
      </c>
      <c r="F3431" s="196"/>
      <c r="G3431" s="194"/>
      <c r="H3431" s="197">
        <v>4772717.3600000003</v>
      </c>
      <c r="I3431" s="355">
        <f>SUM(I3433:I3475)</f>
        <v>4772717.3599999985</v>
      </c>
      <c r="J3431" s="200"/>
      <c r="K3431" s="198">
        <f>SUM(K3433:K3475)</f>
        <v>5434215.9500000011</v>
      </c>
      <c r="L3431" s="198"/>
      <c r="M3431" s="207"/>
      <c r="N3431" s="209"/>
      <c r="O3431" s="138"/>
      <c r="S3431" s="72"/>
      <c r="T3431" s="72"/>
      <c r="U3431" s="72"/>
      <c r="V3431" s="72"/>
    </row>
    <row r="3432" spans="1:22" s="224" customFormat="1" ht="15" x14ac:dyDescent="0.25">
      <c r="A3432" s="216"/>
      <c r="B3432" s="217"/>
      <c r="C3432" s="217"/>
      <c r="D3432" s="217"/>
      <c r="E3432" s="218" t="s">
        <v>3200</v>
      </c>
      <c r="F3432" s="219"/>
      <c r="G3432" s="216"/>
      <c r="H3432" s="220"/>
      <c r="I3432" s="221"/>
      <c r="J3432" s="244"/>
      <c r="K3432" s="221"/>
      <c r="L3432" s="221"/>
      <c r="M3432" s="222"/>
      <c r="N3432" s="223"/>
      <c r="O3432" s="245"/>
      <c r="S3432" s="225"/>
      <c r="T3432" s="225"/>
      <c r="U3432" s="225"/>
      <c r="V3432" s="225"/>
    </row>
    <row r="3433" spans="1:22" s="63" customFormat="1" ht="22.5" x14ac:dyDescent="0.25">
      <c r="A3433" s="80">
        <v>32.1</v>
      </c>
      <c r="B3433" s="81" t="s">
        <v>106</v>
      </c>
      <c r="C3433" s="82">
        <v>1</v>
      </c>
      <c r="D3433" s="131" t="s">
        <v>2308</v>
      </c>
      <c r="E3433" s="83" t="s">
        <v>2309</v>
      </c>
      <c r="F3433" s="81" t="s">
        <v>216</v>
      </c>
      <c r="G3433" s="80">
        <v>0.7</v>
      </c>
      <c r="H3433" s="85"/>
      <c r="I3433" s="86">
        <v>57293</v>
      </c>
      <c r="J3433" s="185">
        <f>ROUND($I3433/$G3433*$N$11,2)</f>
        <v>93191.16</v>
      </c>
      <c r="K3433" s="189">
        <f>ROUND(G3433*J3433,2)</f>
        <v>65233.81</v>
      </c>
      <c r="L3433" s="189"/>
      <c r="M3433" s="138"/>
      <c r="N3433" s="138"/>
      <c r="O3433" s="138"/>
      <c r="S3433" s="72"/>
      <c r="T3433" s="72"/>
      <c r="U3433" s="72"/>
      <c r="V3433" s="72"/>
    </row>
    <row r="3434" spans="1:22" s="63" customFormat="1" ht="22.5" x14ac:dyDescent="0.25">
      <c r="A3434" s="80">
        <v>32.200000000000003</v>
      </c>
      <c r="B3434" s="81" t="s">
        <v>106</v>
      </c>
      <c r="C3434" s="82">
        <v>2</v>
      </c>
      <c r="D3434" s="131" t="s">
        <v>3095</v>
      </c>
      <c r="E3434" s="83" t="s">
        <v>3096</v>
      </c>
      <c r="F3434" s="81" t="s">
        <v>193</v>
      </c>
      <c r="G3434" s="88">
        <v>2.8E-3</v>
      </c>
      <c r="H3434" s="85"/>
      <c r="I3434" s="86">
        <v>237.1</v>
      </c>
      <c r="J3434" s="185">
        <f>ROUND($I3434/$G3434*$N$11,2)</f>
        <v>96415.02</v>
      </c>
      <c r="K3434" s="189">
        <f>ROUND(G3434*J3434,2)</f>
        <v>269.95999999999998</v>
      </c>
      <c r="L3434" s="189"/>
      <c r="M3434" s="138"/>
      <c r="N3434" s="138"/>
      <c r="O3434" s="138"/>
      <c r="S3434" s="72"/>
      <c r="T3434" s="72"/>
      <c r="U3434" s="72"/>
      <c r="V3434" s="72"/>
    </row>
    <row r="3435" spans="1:22" s="63" customFormat="1" ht="22.5" x14ac:dyDescent="0.25">
      <c r="A3435" s="80">
        <v>32.299999999999997</v>
      </c>
      <c r="B3435" s="81" t="s">
        <v>106</v>
      </c>
      <c r="C3435" s="82">
        <v>3</v>
      </c>
      <c r="D3435" s="131" t="s">
        <v>3097</v>
      </c>
      <c r="E3435" s="83" t="s">
        <v>3098</v>
      </c>
      <c r="F3435" s="81" t="s">
        <v>2321</v>
      </c>
      <c r="G3435" s="80">
        <v>4.2</v>
      </c>
      <c r="H3435" s="85"/>
      <c r="I3435" s="86">
        <v>2707.89</v>
      </c>
      <c r="J3435" s="185">
        <f>ROUND($I3435/$G3435*$N$11,2)</f>
        <v>734.1</v>
      </c>
      <c r="K3435" s="189">
        <f>ROUND(G3435*J3435,2)</f>
        <v>3083.22</v>
      </c>
      <c r="L3435" s="189"/>
      <c r="M3435" s="138"/>
      <c r="N3435" s="138"/>
      <c r="O3435" s="138"/>
      <c r="S3435" s="72"/>
      <c r="T3435" s="72"/>
      <c r="U3435" s="72"/>
      <c r="V3435" s="72"/>
    </row>
    <row r="3436" spans="1:22" s="128" customFormat="1" ht="12.75" x14ac:dyDescent="0.25">
      <c r="A3436" s="236"/>
      <c r="B3436" s="125"/>
      <c r="C3436" s="76"/>
      <c r="D3436" s="77"/>
      <c r="E3436" s="126" t="s">
        <v>3423</v>
      </c>
      <c r="F3436" s="125"/>
      <c r="G3436" s="236"/>
      <c r="H3436" s="127"/>
      <c r="I3436" s="78"/>
      <c r="J3436" s="238"/>
      <c r="K3436" s="239"/>
      <c r="L3436" s="239"/>
      <c r="M3436" s="79"/>
      <c r="N3436" s="79"/>
      <c r="O3436" s="79"/>
      <c r="S3436" s="129"/>
      <c r="T3436" s="129"/>
      <c r="U3436" s="129"/>
      <c r="V3436" s="129"/>
    </row>
    <row r="3437" spans="1:22" s="63" customFormat="1" ht="15" x14ac:dyDescent="0.25">
      <c r="A3437" s="80">
        <v>32.4</v>
      </c>
      <c r="B3437" s="81" t="s">
        <v>106</v>
      </c>
      <c r="C3437" s="82">
        <v>4</v>
      </c>
      <c r="D3437" s="131" t="s">
        <v>3099</v>
      </c>
      <c r="E3437" s="83" t="s">
        <v>3100</v>
      </c>
      <c r="F3437" s="81" t="s">
        <v>196</v>
      </c>
      <c r="G3437" s="84">
        <v>2.8000000000000001E-2</v>
      </c>
      <c r="H3437" s="85"/>
      <c r="I3437" s="86">
        <v>17956.53</v>
      </c>
      <c r="J3437" s="185">
        <f t="shared" ref="J3437:J3453" si="337">ROUND($I3437/$G3437*$N$11,2)</f>
        <v>730189.47</v>
      </c>
      <c r="K3437" s="189">
        <f t="shared" ref="K3437:K3453" si="338">ROUND(G3437*J3437,2)</f>
        <v>20445.310000000001</v>
      </c>
      <c r="L3437" s="189"/>
      <c r="M3437" s="138"/>
      <c r="N3437" s="138"/>
      <c r="O3437" s="138"/>
      <c r="S3437" s="72"/>
      <c r="T3437" s="72"/>
      <c r="U3437" s="72"/>
      <c r="V3437" s="72"/>
    </row>
    <row r="3438" spans="1:22" s="63" customFormat="1" ht="15.75" customHeight="1" x14ac:dyDescent="0.25">
      <c r="A3438" s="80">
        <v>32.5</v>
      </c>
      <c r="B3438" s="81" t="s">
        <v>106</v>
      </c>
      <c r="C3438" s="80">
        <v>4.0999999999999996</v>
      </c>
      <c r="D3438" s="131" t="s">
        <v>2982</v>
      </c>
      <c r="E3438" s="83" t="s">
        <v>2983</v>
      </c>
      <c r="F3438" s="81" t="s">
        <v>205</v>
      </c>
      <c r="G3438" s="84">
        <v>2.8559999999999999</v>
      </c>
      <c r="H3438" s="85"/>
      <c r="I3438" s="86">
        <v>17102.61</v>
      </c>
      <c r="J3438" s="185">
        <f t="shared" si="337"/>
        <v>6818.29</v>
      </c>
      <c r="K3438" s="189">
        <f t="shared" si="338"/>
        <v>19473.04</v>
      </c>
      <c r="L3438" s="189"/>
      <c r="M3438" s="138"/>
      <c r="N3438" s="138"/>
      <c r="O3438" s="138"/>
      <c r="S3438" s="72"/>
      <c r="T3438" s="72"/>
      <c r="U3438" s="72"/>
      <c r="V3438" s="72"/>
    </row>
    <row r="3439" spans="1:22" s="63" customFormat="1" ht="15" x14ac:dyDescent="0.25">
      <c r="A3439" s="80">
        <v>32.6</v>
      </c>
      <c r="B3439" s="81" t="s">
        <v>106</v>
      </c>
      <c r="C3439" s="82">
        <v>5</v>
      </c>
      <c r="D3439" s="131" t="s">
        <v>280</v>
      </c>
      <c r="E3439" s="83" t="s">
        <v>3101</v>
      </c>
      <c r="F3439" s="81" t="s">
        <v>226</v>
      </c>
      <c r="G3439" s="84">
        <v>0.105</v>
      </c>
      <c r="H3439" s="85"/>
      <c r="I3439" s="86">
        <v>22340.89</v>
      </c>
      <c r="J3439" s="185">
        <f t="shared" si="337"/>
        <v>242260.36</v>
      </c>
      <c r="K3439" s="189">
        <f t="shared" si="338"/>
        <v>25437.34</v>
      </c>
      <c r="L3439" s="189"/>
      <c r="M3439" s="138"/>
      <c r="N3439" s="138"/>
      <c r="O3439" s="138"/>
      <c r="S3439" s="72"/>
      <c r="T3439" s="72"/>
      <c r="U3439" s="72"/>
      <c r="V3439" s="72"/>
    </row>
    <row r="3440" spans="1:22" s="63" customFormat="1" ht="33.75" x14ac:dyDescent="0.25">
      <c r="A3440" s="80">
        <v>32.700000000000003</v>
      </c>
      <c r="B3440" s="81" t="s">
        <v>106</v>
      </c>
      <c r="C3440" s="80">
        <v>5.0999999999999996</v>
      </c>
      <c r="D3440" s="131" t="s">
        <v>282</v>
      </c>
      <c r="E3440" s="83" t="s">
        <v>283</v>
      </c>
      <c r="F3440" s="81" t="s">
        <v>226</v>
      </c>
      <c r="G3440" s="84">
        <v>0.105</v>
      </c>
      <c r="H3440" s="85"/>
      <c r="I3440" s="86">
        <v>7094.94</v>
      </c>
      <c r="J3440" s="185">
        <f t="shared" si="337"/>
        <v>76936.179999999993</v>
      </c>
      <c r="K3440" s="189">
        <f t="shared" si="338"/>
        <v>8078.3</v>
      </c>
      <c r="L3440" s="189"/>
      <c r="M3440" s="138"/>
      <c r="N3440" s="138"/>
      <c r="O3440" s="138"/>
      <c r="S3440" s="72"/>
      <c r="T3440" s="72"/>
      <c r="U3440" s="72"/>
      <c r="V3440" s="72"/>
    </row>
    <row r="3441" spans="1:22" s="63" customFormat="1" ht="15" x14ac:dyDescent="0.25">
      <c r="A3441" s="80">
        <v>32.799999999999997</v>
      </c>
      <c r="B3441" s="81" t="s">
        <v>106</v>
      </c>
      <c r="C3441" s="82">
        <v>6</v>
      </c>
      <c r="D3441" s="131" t="s">
        <v>3102</v>
      </c>
      <c r="E3441" s="83" t="s">
        <v>3103</v>
      </c>
      <c r="F3441" s="81" t="s">
        <v>205</v>
      </c>
      <c r="G3441" s="80">
        <v>4.9000000000000004</v>
      </c>
      <c r="H3441" s="85"/>
      <c r="I3441" s="86">
        <v>324625.90000000002</v>
      </c>
      <c r="J3441" s="185">
        <f t="shared" si="337"/>
        <v>75432.460000000006</v>
      </c>
      <c r="K3441" s="189">
        <f t="shared" si="338"/>
        <v>369619.05</v>
      </c>
      <c r="L3441" s="189"/>
      <c r="M3441" s="138"/>
      <c r="N3441" s="138"/>
      <c r="O3441" s="138"/>
      <c r="S3441" s="72"/>
      <c r="T3441" s="72"/>
      <c r="U3441" s="72"/>
      <c r="V3441" s="72"/>
    </row>
    <row r="3442" spans="1:22" s="63" customFormat="1" ht="22.5" x14ac:dyDescent="0.25">
      <c r="A3442" s="80">
        <v>32.9</v>
      </c>
      <c r="B3442" s="81" t="s">
        <v>106</v>
      </c>
      <c r="C3442" s="80">
        <v>6.1</v>
      </c>
      <c r="D3442" s="131" t="s">
        <v>3104</v>
      </c>
      <c r="E3442" s="83" t="s">
        <v>3105</v>
      </c>
      <c r="F3442" s="81" t="s">
        <v>205</v>
      </c>
      <c r="G3442" s="84">
        <v>-2.4009999999999998</v>
      </c>
      <c r="H3442" s="85"/>
      <c r="I3442" s="86">
        <v>-41475.11</v>
      </c>
      <c r="J3442" s="185">
        <f t="shared" si="337"/>
        <v>19668.29</v>
      </c>
      <c r="K3442" s="189">
        <f t="shared" si="338"/>
        <v>-47223.56</v>
      </c>
      <c r="L3442" s="189"/>
      <c r="M3442" s="138"/>
      <c r="N3442" s="138"/>
      <c r="O3442" s="138"/>
      <c r="S3442" s="72"/>
      <c r="T3442" s="72"/>
      <c r="U3442" s="72"/>
      <c r="V3442" s="72"/>
    </row>
    <row r="3443" spans="1:22" s="63" customFormat="1" ht="22.5" x14ac:dyDescent="0.25">
      <c r="A3443" s="87">
        <v>32.1</v>
      </c>
      <c r="B3443" s="81" t="s">
        <v>106</v>
      </c>
      <c r="C3443" s="80">
        <v>6.2</v>
      </c>
      <c r="D3443" s="131" t="s">
        <v>3106</v>
      </c>
      <c r="E3443" s="83" t="s">
        <v>3107</v>
      </c>
      <c r="F3443" s="81" t="s">
        <v>205</v>
      </c>
      <c r="G3443" s="84">
        <v>-2.7440000000000002</v>
      </c>
      <c r="H3443" s="85"/>
      <c r="I3443" s="86">
        <v>-44860.07</v>
      </c>
      <c r="J3443" s="185">
        <f t="shared" si="337"/>
        <v>18614.310000000001</v>
      </c>
      <c r="K3443" s="189">
        <f t="shared" si="338"/>
        <v>-51077.67</v>
      </c>
      <c r="L3443" s="189"/>
      <c r="M3443" s="138"/>
      <c r="N3443" s="138"/>
      <c r="O3443" s="138"/>
      <c r="S3443" s="72"/>
      <c r="T3443" s="72"/>
      <c r="U3443" s="72"/>
      <c r="V3443" s="72"/>
    </row>
    <row r="3444" spans="1:22" s="63" customFormat="1" ht="15" x14ac:dyDescent="0.25">
      <c r="A3444" s="87">
        <v>32.11</v>
      </c>
      <c r="B3444" s="81" t="s">
        <v>106</v>
      </c>
      <c r="C3444" s="82">
        <v>7</v>
      </c>
      <c r="D3444" s="131" t="s">
        <v>3108</v>
      </c>
      <c r="E3444" s="83" t="s">
        <v>3109</v>
      </c>
      <c r="F3444" s="81" t="s">
        <v>207</v>
      </c>
      <c r="G3444" s="88">
        <v>2.3001999999999998</v>
      </c>
      <c r="H3444" s="85"/>
      <c r="I3444" s="86">
        <v>45507.56</v>
      </c>
      <c r="J3444" s="185">
        <f t="shared" si="337"/>
        <v>22526.26</v>
      </c>
      <c r="K3444" s="189">
        <f t="shared" si="338"/>
        <v>51814.9</v>
      </c>
      <c r="L3444" s="189"/>
      <c r="M3444" s="138"/>
      <c r="N3444" s="138"/>
      <c r="O3444" s="138"/>
      <c r="S3444" s="72"/>
      <c r="T3444" s="72"/>
      <c r="U3444" s="72"/>
      <c r="V3444" s="72"/>
    </row>
    <row r="3445" spans="1:22" s="63" customFormat="1" ht="22.5" x14ac:dyDescent="0.25">
      <c r="A3445" s="87">
        <v>32.119999999999997</v>
      </c>
      <c r="B3445" s="81" t="s">
        <v>106</v>
      </c>
      <c r="C3445" s="80">
        <v>7.1</v>
      </c>
      <c r="D3445" s="131" t="s">
        <v>3110</v>
      </c>
      <c r="E3445" s="83" t="s">
        <v>3111</v>
      </c>
      <c r="F3445" s="81" t="s">
        <v>205</v>
      </c>
      <c r="G3445" s="89">
        <v>-0.92008000000000001</v>
      </c>
      <c r="H3445" s="85"/>
      <c r="I3445" s="86">
        <v>-13397.61</v>
      </c>
      <c r="J3445" s="185">
        <f t="shared" si="337"/>
        <v>16579.560000000001</v>
      </c>
      <c r="K3445" s="189">
        <f t="shared" si="338"/>
        <v>-15254.52</v>
      </c>
      <c r="L3445" s="189"/>
      <c r="M3445" s="138"/>
      <c r="N3445" s="138"/>
      <c r="O3445" s="138"/>
      <c r="S3445" s="72"/>
      <c r="T3445" s="72"/>
      <c r="U3445" s="72"/>
      <c r="V3445" s="72"/>
    </row>
    <row r="3446" spans="1:22" s="63" customFormat="1" ht="22.5" x14ac:dyDescent="0.25">
      <c r="A3446" s="87">
        <v>32.130000000000003</v>
      </c>
      <c r="B3446" s="81" t="s">
        <v>106</v>
      </c>
      <c r="C3446" s="82">
        <v>8</v>
      </c>
      <c r="D3446" s="131" t="s">
        <v>3112</v>
      </c>
      <c r="E3446" s="83" t="s">
        <v>3113</v>
      </c>
      <c r="F3446" s="81" t="s">
        <v>207</v>
      </c>
      <c r="G3446" s="88">
        <v>2.3001999999999998</v>
      </c>
      <c r="H3446" s="85"/>
      <c r="I3446" s="86">
        <v>74784.03</v>
      </c>
      <c r="J3446" s="185">
        <f t="shared" si="337"/>
        <v>37018.129999999997</v>
      </c>
      <c r="K3446" s="189">
        <f t="shared" si="338"/>
        <v>85149.1</v>
      </c>
      <c r="L3446" s="189"/>
      <c r="M3446" s="138"/>
      <c r="N3446" s="138"/>
      <c r="O3446" s="138"/>
      <c r="S3446" s="72"/>
      <c r="T3446" s="72"/>
      <c r="U3446" s="72"/>
      <c r="V3446" s="72"/>
    </row>
    <row r="3447" spans="1:22" s="63" customFormat="1" ht="22.5" x14ac:dyDescent="0.25">
      <c r="A3447" s="87">
        <v>32.14</v>
      </c>
      <c r="B3447" s="81" t="s">
        <v>106</v>
      </c>
      <c r="C3447" s="80">
        <v>8.1</v>
      </c>
      <c r="D3447" s="131" t="s">
        <v>3114</v>
      </c>
      <c r="E3447" s="83" t="s">
        <v>3115</v>
      </c>
      <c r="F3447" s="81" t="s">
        <v>226</v>
      </c>
      <c r="G3447" s="89">
        <v>-3.4499999999999999E-3</v>
      </c>
      <c r="H3447" s="85"/>
      <c r="I3447" s="86">
        <v>-828.15</v>
      </c>
      <c r="J3447" s="185">
        <f t="shared" si="337"/>
        <v>273313.5</v>
      </c>
      <c r="K3447" s="189">
        <f t="shared" si="338"/>
        <v>-942.93</v>
      </c>
      <c r="L3447" s="189"/>
      <c r="M3447" s="138"/>
      <c r="N3447" s="138"/>
      <c r="O3447" s="138"/>
      <c r="S3447" s="72"/>
      <c r="T3447" s="72"/>
      <c r="U3447" s="72"/>
      <c r="V3447" s="72"/>
    </row>
    <row r="3448" spans="1:22" s="63" customFormat="1" ht="22.5" x14ac:dyDescent="0.25">
      <c r="A3448" s="87">
        <v>32.15</v>
      </c>
      <c r="B3448" s="81" t="s">
        <v>106</v>
      </c>
      <c r="C3448" s="80">
        <v>8.1999999999999993</v>
      </c>
      <c r="D3448" s="131" t="s">
        <v>3116</v>
      </c>
      <c r="E3448" s="83" t="s">
        <v>3117</v>
      </c>
      <c r="F3448" s="81" t="s">
        <v>216</v>
      </c>
      <c r="G3448" s="84">
        <v>11.500999999999999</v>
      </c>
      <c r="H3448" s="85"/>
      <c r="I3448" s="86">
        <v>4217.91</v>
      </c>
      <c r="J3448" s="185">
        <f t="shared" si="337"/>
        <v>417.57</v>
      </c>
      <c r="K3448" s="189">
        <f t="shared" si="338"/>
        <v>4802.47</v>
      </c>
      <c r="L3448" s="189"/>
      <c r="M3448" s="138"/>
      <c r="N3448" s="138"/>
      <c r="O3448" s="138"/>
      <c r="S3448" s="72"/>
      <c r="T3448" s="72"/>
      <c r="U3448" s="72"/>
      <c r="V3448" s="72"/>
    </row>
    <row r="3449" spans="1:22" s="63" customFormat="1" ht="15" x14ac:dyDescent="0.25">
      <c r="A3449" s="87">
        <v>32.159999999999997</v>
      </c>
      <c r="B3449" s="81" t="s">
        <v>106</v>
      </c>
      <c r="C3449" s="82">
        <v>9</v>
      </c>
      <c r="D3449" s="131" t="s">
        <v>3118</v>
      </c>
      <c r="E3449" s="83" t="s">
        <v>3119</v>
      </c>
      <c r="F3449" s="81" t="s">
        <v>207</v>
      </c>
      <c r="G3449" s="88">
        <v>2.3001999999999998</v>
      </c>
      <c r="H3449" s="85"/>
      <c r="I3449" s="86">
        <v>207587.85</v>
      </c>
      <c r="J3449" s="185">
        <f t="shared" si="337"/>
        <v>102756.08</v>
      </c>
      <c r="K3449" s="189">
        <f t="shared" si="338"/>
        <v>236359.54</v>
      </c>
      <c r="L3449" s="189"/>
      <c r="M3449" s="138"/>
      <c r="N3449" s="138"/>
      <c r="O3449" s="138"/>
      <c r="S3449" s="72"/>
      <c r="T3449" s="72"/>
      <c r="U3449" s="72"/>
      <c r="V3449" s="72"/>
    </row>
    <row r="3450" spans="1:22" s="63" customFormat="1" ht="22.5" x14ac:dyDescent="0.25">
      <c r="A3450" s="87">
        <v>32.17</v>
      </c>
      <c r="B3450" s="81" t="s">
        <v>106</v>
      </c>
      <c r="C3450" s="80">
        <v>9.1</v>
      </c>
      <c r="D3450" s="131" t="s">
        <v>3120</v>
      </c>
      <c r="E3450" s="83" t="s">
        <v>3121</v>
      </c>
      <c r="F3450" s="81" t="s">
        <v>205</v>
      </c>
      <c r="G3450" s="90">
        <v>-2.8522479999999999</v>
      </c>
      <c r="H3450" s="85"/>
      <c r="I3450" s="86">
        <v>-105521.13</v>
      </c>
      <c r="J3450" s="185">
        <f t="shared" si="337"/>
        <v>42123.39</v>
      </c>
      <c r="K3450" s="189">
        <f t="shared" si="338"/>
        <v>-120146.35</v>
      </c>
      <c r="L3450" s="189"/>
      <c r="M3450" s="138"/>
      <c r="N3450" s="138"/>
      <c r="O3450" s="138"/>
      <c r="S3450" s="72"/>
      <c r="T3450" s="72"/>
      <c r="U3450" s="72"/>
      <c r="V3450" s="72"/>
    </row>
    <row r="3451" spans="1:22" s="63" customFormat="1" ht="15" x14ac:dyDescent="0.25">
      <c r="A3451" s="87">
        <v>32.18</v>
      </c>
      <c r="B3451" s="81" t="s">
        <v>106</v>
      </c>
      <c r="C3451" s="82">
        <v>10</v>
      </c>
      <c r="D3451" s="131" t="s">
        <v>3122</v>
      </c>
      <c r="E3451" s="83" t="s">
        <v>3123</v>
      </c>
      <c r="F3451" s="81" t="s">
        <v>207</v>
      </c>
      <c r="G3451" s="84">
        <v>4.3470000000000004</v>
      </c>
      <c r="H3451" s="85"/>
      <c r="I3451" s="86">
        <v>392905.26</v>
      </c>
      <c r="J3451" s="185">
        <f t="shared" si="337"/>
        <v>102912.8</v>
      </c>
      <c r="K3451" s="189">
        <f t="shared" si="338"/>
        <v>447361.94</v>
      </c>
      <c r="L3451" s="189"/>
      <c r="M3451" s="138"/>
      <c r="N3451" s="138"/>
      <c r="O3451" s="138"/>
      <c r="S3451" s="72"/>
      <c r="T3451" s="72"/>
      <c r="U3451" s="72"/>
      <c r="V3451" s="72"/>
    </row>
    <row r="3452" spans="1:22" s="63" customFormat="1" ht="22.5" x14ac:dyDescent="0.25">
      <c r="A3452" s="87">
        <v>32.19</v>
      </c>
      <c r="B3452" s="81" t="s">
        <v>106</v>
      </c>
      <c r="C3452" s="80">
        <v>10.1</v>
      </c>
      <c r="D3452" s="131" t="s">
        <v>3124</v>
      </c>
      <c r="E3452" s="83" t="s">
        <v>3125</v>
      </c>
      <c r="F3452" s="81" t="s">
        <v>207</v>
      </c>
      <c r="G3452" s="90">
        <v>-4.4556750000000003</v>
      </c>
      <c r="H3452" s="85"/>
      <c r="I3452" s="86">
        <v>-73773.09</v>
      </c>
      <c r="J3452" s="185">
        <f t="shared" si="337"/>
        <v>18851.919999999998</v>
      </c>
      <c r="K3452" s="189">
        <f t="shared" si="338"/>
        <v>-83998.03</v>
      </c>
      <c r="L3452" s="189"/>
      <c r="M3452" s="138"/>
      <c r="N3452" s="138"/>
      <c r="O3452" s="138"/>
      <c r="S3452" s="72"/>
      <c r="T3452" s="72"/>
      <c r="U3452" s="72"/>
      <c r="V3452" s="72"/>
    </row>
    <row r="3453" spans="1:22" s="63" customFormat="1" ht="16.5" customHeight="1" x14ac:dyDescent="0.25">
      <c r="A3453" s="87">
        <v>32.200000000000003</v>
      </c>
      <c r="B3453" s="81" t="s">
        <v>106</v>
      </c>
      <c r="C3453" s="80">
        <v>10.199999999999999</v>
      </c>
      <c r="D3453" s="131" t="s">
        <v>3126</v>
      </c>
      <c r="E3453" s="83" t="s">
        <v>4109</v>
      </c>
      <c r="F3453" s="81" t="s">
        <v>491</v>
      </c>
      <c r="G3453" s="82">
        <v>7</v>
      </c>
      <c r="H3453" s="85"/>
      <c r="I3453" s="86">
        <v>3662380.35</v>
      </c>
      <c r="J3453" s="185">
        <f t="shared" si="337"/>
        <v>595712.31999999995</v>
      </c>
      <c r="K3453" s="189">
        <f t="shared" si="338"/>
        <v>4169986.24</v>
      </c>
      <c r="L3453" s="189"/>
      <c r="M3453" s="138"/>
      <c r="N3453" s="138"/>
      <c r="O3453" s="138"/>
      <c r="S3453" s="72"/>
      <c r="T3453" s="72"/>
      <c r="U3453" s="72"/>
      <c r="V3453" s="72"/>
    </row>
    <row r="3454" spans="1:22" s="128" customFormat="1" ht="12.75" x14ac:dyDescent="0.25">
      <c r="A3454" s="237"/>
      <c r="B3454" s="125"/>
      <c r="C3454" s="236"/>
      <c r="D3454" s="77"/>
      <c r="E3454" s="126" t="s">
        <v>3424</v>
      </c>
      <c r="F3454" s="125"/>
      <c r="G3454" s="76"/>
      <c r="H3454" s="127"/>
      <c r="I3454" s="78"/>
      <c r="J3454" s="238"/>
      <c r="K3454" s="239"/>
      <c r="L3454" s="239"/>
      <c r="M3454" s="79"/>
      <c r="N3454" s="79"/>
      <c r="O3454" s="79"/>
      <c r="S3454" s="129"/>
      <c r="T3454" s="129"/>
      <c r="U3454" s="129"/>
      <c r="V3454" s="129"/>
    </row>
    <row r="3455" spans="1:22" s="128" customFormat="1" ht="12.75" x14ac:dyDescent="0.25">
      <c r="A3455" s="237"/>
      <c r="B3455" s="125"/>
      <c r="C3455" s="236"/>
      <c r="D3455" s="77"/>
      <c r="E3455" s="126" t="s">
        <v>3200</v>
      </c>
      <c r="F3455" s="125"/>
      <c r="G3455" s="76"/>
      <c r="H3455" s="127"/>
      <c r="I3455" s="78"/>
      <c r="J3455" s="238"/>
      <c r="K3455" s="239"/>
      <c r="L3455" s="239"/>
      <c r="M3455" s="79"/>
      <c r="N3455" s="79"/>
      <c r="O3455" s="79"/>
      <c r="S3455" s="129"/>
      <c r="T3455" s="129"/>
      <c r="U3455" s="129"/>
      <c r="V3455" s="129"/>
    </row>
    <row r="3456" spans="1:22" s="63" customFormat="1" ht="22.5" x14ac:dyDescent="0.25">
      <c r="A3456" s="87">
        <v>32.21</v>
      </c>
      <c r="B3456" s="81" t="s">
        <v>106</v>
      </c>
      <c r="C3456" s="82">
        <v>11</v>
      </c>
      <c r="D3456" s="131" t="s">
        <v>2308</v>
      </c>
      <c r="E3456" s="83" t="s">
        <v>2309</v>
      </c>
      <c r="F3456" s="81" t="s">
        <v>216</v>
      </c>
      <c r="G3456" s="87">
        <v>0.16</v>
      </c>
      <c r="H3456" s="85"/>
      <c r="I3456" s="86">
        <v>13095.55</v>
      </c>
      <c r="J3456" s="185">
        <f>ROUND($I3456/$G3456*$N$11,2)</f>
        <v>93191.21</v>
      </c>
      <c r="K3456" s="189">
        <f>ROUND(G3456*J3456,2)</f>
        <v>14910.59</v>
      </c>
      <c r="L3456" s="189"/>
      <c r="M3456" s="138"/>
      <c r="N3456" s="138"/>
      <c r="O3456" s="138"/>
      <c r="S3456" s="72"/>
      <c r="T3456" s="72"/>
      <c r="U3456" s="72"/>
      <c r="V3456" s="72"/>
    </row>
    <row r="3457" spans="1:22" s="63" customFormat="1" ht="22.5" x14ac:dyDescent="0.25">
      <c r="A3457" s="87">
        <v>32.22</v>
      </c>
      <c r="B3457" s="81" t="s">
        <v>106</v>
      </c>
      <c r="C3457" s="82">
        <v>12</v>
      </c>
      <c r="D3457" s="131" t="s">
        <v>3095</v>
      </c>
      <c r="E3457" s="83" t="s">
        <v>3096</v>
      </c>
      <c r="F3457" s="81" t="s">
        <v>193</v>
      </c>
      <c r="G3457" s="89">
        <v>1.2800000000000001E-3</v>
      </c>
      <c r="H3457" s="85"/>
      <c r="I3457" s="86">
        <v>108.12</v>
      </c>
      <c r="J3457" s="185">
        <f>ROUND($I3457/$G3457*$N$11,2)</f>
        <v>96176.12</v>
      </c>
      <c r="K3457" s="189">
        <f>ROUND(G3457*J3457,2)</f>
        <v>123.11</v>
      </c>
      <c r="L3457" s="189"/>
      <c r="M3457" s="138"/>
      <c r="N3457" s="138"/>
      <c r="O3457" s="138"/>
      <c r="S3457" s="72"/>
      <c r="T3457" s="72"/>
      <c r="U3457" s="72"/>
      <c r="V3457" s="72"/>
    </row>
    <row r="3458" spans="1:22" s="63" customFormat="1" ht="22.5" x14ac:dyDescent="0.25">
      <c r="A3458" s="87">
        <v>32.229999999999997</v>
      </c>
      <c r="B3458" s="81" t="s">
        <v>106</v>
      </c>
      <c r="C3458" s="82">
        <v>13</v>
      </c>
      <c r="D3458" s="131" t="s">
        <v>2422</v>
      </c>
      <c r="E3458" s="83" t="s">
        <v>2423</v>
      </c>
      <c r="F3458" s="81" t="s">
        <v>2321</v>
      </c>
      <c r="G3458" s="87">
        <v>2.2400000000000002</v>
      </c>
      <c r="H3458" s="85"/>
      <c r="I3458" s="86">
        <v>89.84</v>
      </c>
      <c r="J3458" s="185">
        <f>ROUND($I3458/$G3458*$N$11,2)</f>
        <v>45.67</v>
      </c>
      <c r="K3458" s="189">
        <f>ROUND(G3458*J3458,2)</f>
        <v>102.3</v>
      </c>
      <c r="L3458" s="189"/>
      <c r="M3458" s="138"/>
      <c r="N3458" s="138"/>
      <c r="O3458" s="138"/>
      <c r="S3458" s="72"/>
      <c r="T3458" s="72"/>
      <c r="U3458" s="72"/>
      <c r="V3458" s="72"/>
    </row>
    <row r="3459" spans="1:22" s="128" customFormat="1" ht="12.75" x14ac:dyDescent="0.25">
      <c r="A3459" s="237"/>
      <c r="B3459" s="125"/>
      <c r="C3459" s="76"/>
      <c r="D3459" s="77"/>
      <c r="E3459" s="126" t="s">
        <v>3425</v>
      </c>
      <c r="F3459" s="125"/>
      <c r="G3459" s="237"/>
      <c r="H3459" s="127"/>
      <c r="I3459" s="78"/>
      <c r="J3459" s="238"/>
      <c r="K3459" s="239"/>
      <c r="L3459" s="239"/>
      <c r="M3459" s="79"/>
      <c r="N3459" s="79"/>
      <c r="O3459" s="79"/>
      <c r="S3459" s="129"/>
      <c r="T3459" s="129"/>
      <c r="U3459" s="129"/>
      <c r="V3459" s="129"/>
    </row>
    <row r="3460" spans="1:22" s="63" customFormat="1" ht="13.5" customHeight="1" x14ac:dyDescent="0.25">
      <c r="A3460" s="87">
        <v>32.24</v>
      </c>
      <c r="B3460" s="81" t="s">
        <v>106</v>
      </c>
      <c r="C3460" s="82">
        <v>14</v>
      </c>
      <c r="D3460" s="131" t="s">
        <v>3099</v>
      </c>
      <c r="E3460" s="83" t="s">
        <v>3100</v>
      </c>
      <c r="F3460" s="81" t="s">
        <v>196</v>
      </c>
      <c r="G3460" s="88">
        <v>8.6E-3</v>
      </c>
      <c r="H3460" s="85"/>
      <c r="I3460" s="86">
        <v>5514.38</v>
      </c>
      <c r="J3460" s="185">
        <f t="shared" ref="J3460:J3475" si="339">ROUND($I3460/$G3460*$N$11,2)</f>
        <v>730078.26</v>
      </c>
      <c r="K3460" s="189">
        <f t="shared" ref="K3460:K3475" si="340">ROUND(G3460*J3460,2)</f>
        <v>6278.67</v>
      </c>
      <c r="L3460" s="189"/>
      <c r="M3460" s="138"/>
      <c r="N3460" s="138"/>
      <c r="O3460" s="138"/>
      <c r="S3460" s="72"/>
      <c r="T3460" s="72"/>
      <c r="U3460" s="72"/>
      <c r="V3460" s="72"/>
    </row>
    <row r="3461" spans="1:22" s="63" customFormat="1" ht="13.5" customHeight="1" x14ac:dyDescent="0.25">
      <c r="A3461" s="87">
        <v>32.25</v>
      </c>
      <c r="B3461" s="81" t="s">
        <v>106</v>
      </c>
      <c r="C3461" s="80">
        <v>14.1</v>
      </c>
      <c r="D3461" s="131" t="s">
        <v>2982</v>
      </c>
      <c r="E3461" s="83" t="s">
        <v>2983</v>
      </c>
      <c r="F3461" s="81" t="s">
        <v>205</v>
      </c>
      <c r="G3461" s="88">
        <v>0.87719999999999998</v>
      </c>
      <c r="H3461" s="85"/>
      <c r="I3461" s="86">
        <v>5252.96</v>
      </c>
      <c r="J3461" s="185">
        <f t="shared" si="339"/>
        <v>6818.31</v>
      </c>
      <c r="K3461" s="189">
        <f t="shared" si="340"/>
        <v>5981.02</v>
      </c>
      <c r="L3461" s="189"/>
      <c r="M3461" s="138"/>
      <c r="N3461" s="138"/>
      <c r="O3461" s="138"/>
      <c r="S3461" s="72"/>
      <c r="T3461" s="72"/>
      <c r="U3461" s="72"/>
      <c r="V3461" s="72"/>
    </row>
    <row r="3462" spans="1:22" s="63" customFormat="1" ht="13.5" customHeight="1" x14ac:dyDescent="0.25">
      <c r="A3462" s="87">
        <v>32.26</v>
      </c>
      <c r="B3462" s="81" t="s">
        <v>106</v>
      </c>
      <c r="C3462" s="82">
        <v>15</v>
      </c>
      <c r="D3462" s="131" t="s">
        <v>280</v>
      </c>
      <c r="E3462" s="83" t="s">
        <v>3101</v>
      </c>
      <c r="F3462" s="81" t="s">
        <v>226</v>
      </c>
      <c r="G3462" s="84">
        <v>2.4E-2</v>
      </c>
      <c r="H3462" s="85"/>
      <c r="I3462" s="86">
        <v>5106.84</v>
      </c>
      <c r="J3462" s="185">
        <f t="shared" si="339"/>
        <v>242277</v>
      </c>
      <c r="K3462" s="189">
        <f t="shared" si="340"/>
        <v>5814.65</v>
      </c>
      <c r="L3462" s="189"/>
      <c r="M3462" s="138"/>
      <c r="N3462" s="138"/>
      <c r="O3462" s="138"/>
      <c r="S3462" s="72"/>
      <c r="T3462" s="72"/>
      <c r="U3462" s="72"/>
      <c r="V3462" s="72"/>
    </row>
    <row r="3463" spans="1:22" s="63" customFormat="1" ht="33.75" x14ac:dyDescent="0.25">
      <c r="A3463" s="87">
        <v>32.270000000000003</v>
      </c>
      <c r="B3463" s="81" t="s">
        <v>106</v>
      </c>
      <c r="C3463" s="80">
        <v>15.1</v>
      </c>
      <c r="D3463" s="131" t="s">
        <v>282</v>
      </c>
      <c r="E3463" s="83" t="s">
        <v>283</v>
      </c>
      <c r="F3463" s="81" t="s">
        <v>226</v>
      </c>
      <c r="G3463" s="84">
        <v>2.4E-2</v>
      </c>
      <c r="H3463" s="85"/>
      <c r="I3463" s="86">
        <v>1621.67</v>
      </c>
      <c r="J3463" s="185">
        <f t="shared" si="339"/>
        <v>76934.73</v>
      </c>
      <c r="K3463" s="189">
        <f t="shared" si="340"/>
        <v>1846.43</v>
      </c>
      <c r="L3463" s="189"/>
      <c r="M3463" s="138"/>
      <c r="N3463" s="138"/>
      <c r="O3463" s="138"/>
      <c r="S3463" s="72"/>
      <c r="T3463" s="72"/>
      <c r="U3463" s="72"/>
      <c r="V3463" s="72"/>
    </row>
    <row r="3464" spans="1:22" s="63" customFormat="1" ht="15" x14ac:dyDescent="0.25">
      <c r="A3464" s="87">
        <v>32.28</v>
      </c>
      <c r="B3464" s="81" t="s">
        <v>106</v>
      </c>
      <c r="C3464" s="82">
        <v>16</v>
      </c>
      <c r="D3464" s="131" t="s">
        <v>3102</v>
      </c>
      <c r="E3464" s="83" t="s">
        <v>3103</v>
      </c>
      <c r="F3464" s="81" t="s">
        <v>205</v>
      </c>
      <c r="G3464" s="88">
        <v>0.2898</v>
      </c>
      <c r="H3464" s="85"/>
      <c r="I3464" s="86">
        <v>19199.97</v>
      </c>
      <c r="J3464" s="185">
        <f t="shared" si="339"/>
        <v>75435.08</v>
      </c>
      <c r="K3464" s="189">
        <f t="shared" si="340"/>
        <v>21861.09</v>
      </c>
      <c r="L3464" s="189"/>
      <c r="M3464" s="138"/>
      <c r="N3464" s="138"/>
      <c r="O3464" s="138"/>
      <c r="S3464" s="72"/>
      <c r="T3464" s="72"/>
      <c r="U3464" s="72"/>
      <c r="V3464" s="72"/>
    </row>
    <row r="3465" spans="1:22" s="63" customFormat="1" ht="15" x14ac:dyDescent="0.25">
      <c r="A3465" s="87">
        <v>32.29</v>
      </c>
      <c r="B3465" s="81" t="s">
        <v>106</v>
      </c>
      <c r="C3465" s="82">
        <v>17</v>
      </c>
      <c r="D3465" s="131" t="s">
        <v>3108</v>
      </c>
      <c r="E3465" s="83" t="s">
        <v>3109</v>
      </c>
      <c r="F3465" s="81" t="s">
        <v>207</v>
      </c>
      <c r="G3465" s="84">
        <v>0.245</v>
      </c>
      <c r="H3465" s="85"/>
      <c r="I3465" s="86">
        <v>4847.3100000000004</v>
      </c>
      <c r="J3465" s="185">
        <f t="shared" si="339"/>
        <v>22527.13</v>
      </c>
      <c r="K3465" s="189">
        <f t="shared" si="340"/>
        <v>5519.15</v>
      </c>
      <c r="L3465" s="189"/>
      <c r="M3465" s="138"/>
      <c r="N3465" s="138"/>
      <c r="O3465" s="138"/>
      <c r="S3465" s="72"/>
      <c r="T3465" s="72"/>
      <c r="U3465" s="72"/>
      <c r="V3465" s="72"/>
    </row>
    <row r="3466" spans="1:22" s="63" customFormat="1" ht="22.5" x14ac:dyDescent="0.25">
      <c r="A3466" s="87">
        <v>32.299999999999997</v>
      </c>
      <c r="B3466" s="81" t="s">
        <v>106</v>
      </c>
      <c r="C3466" s="82">
        <v>18</v>
      </c>
      <c r="D3466" s="131" t="s">
        <v>3112</v>
      </c>
      <c r="E3466" s="83" t="s">
        <v>3113</v>
      </c>
      <c r="F3466" s="81" t="s">
        <v>207</v>
      </c>
      <c r="G3466" s="84">
        <v>0.245</v>
      </c>
      <c r="H3466" s="85"/>
      <c r="I3466" s="86">
        <v>7964.5</v>
      </c>
      <c r="J3466" s="185">
        <f t="shared" si="339"/>
        <v>37013.79</v>
      </c>
      <c r="K3466" s="189">
        <f t="shared" si="340"/>
        <v>9068.3799999999992</v>
      </c>
      <c r="L3466" s="189"/>
      <c r="M3466" s="138"/>
      <c r="N3466" s="138"/>
      <c r="O3466" s="138"/>
      <c r="S3466" s="72"/>
      <c r="T3466" s="72"/>
      <c r="U3466" s="72"/>
      <c r="V3466" s="72"/>
    </row>
    <row r="3467" spans="1:22" s="63" customFormat="1" ht="15.75" customHeight="1" x14ac:dyDescent="0.25">
      <c r="A3467" s="87">
        <v>32.31</v>
      </c>
      <c r="B3467" s="81" t="s">
        <v>106</v>
      </c>
      <c r="C3467" s="80">
        <v>18.100000000000001</v>
      </c>
      <c r="D3467" s="131" t="s">
        <v>3127</v>
      </c>
      <c r="E3467" s="83" t="s">
        <v>3128</v>
      </c>
      <c r="F3467" s="81" t="s">
        <v>370</v>
      </c>
      <c r="G3467" s="80">
        <v>24.5</v>
      </c>
      <c r="H3467" s="85"/>
      <c r="I3467" s="86">
        <v>17309.07</v>
      </c>
      <c r="J3467" s="185">
        <f t="shared" si="339"/>
        <v>804.41</v>
      </c>
      <c r="K3467" s="189">
        <f t="shared" si="340"/>
        <v>19708.05</v>
      </c>
      <c r="L3467" s="189"/>
      <c r="M3467" s="138"/>
      <c r="N3467" s="138"/>
      <c r="O3467" s="138"/>
      <c r="S3467" s="72"/>
      <c r="T3467" s="72"/>
      <c r="U3467" s="72"/>
      <c r="V3467" s="72"/>
    </row>
    <row r="3468" spans="1:22" s="63" customFormat="1" ht="15.75" customHeight="1" x14ac:dyDescent="0.25">
      <c r="A3468" s="87">
        <v>32.32</v>
      </c>
      <c r="B3468" s="81" t="s">
        <v>106</v>
      </c>
      <c r="C3468" s="80">
        <v>18.2</v>
      </c>
      <c r="D3468" s="131" t="s">
        <v>3129</v>
      </c>
      <c r="E3468" s="83" t="s">
        <v>3130</v>
      </c>
      <c r="F3468" s="81" t="s">
        <v>216</v>
      </c>
      <c r="G3468" s="80">
        <v>2.5</v>
      </c>
      <c r="H3468" s="85"/>
      <c r="I3468" s="86">
        <v>1909.2</v>
      </c>
      <c r="J3468" s="185">
        <f t="shared" si="339"/>
        <v>869.53</v>
      </c>
      <c r="K3468" s="189">
        <f t="shared" si="340"/>
        <v>2173.83</v>
      </c>
      <c r="L3468" s="189"/>
      <c r="M3468" s="138"/>
      <c r="N3468" s="138"/>
      <c r="O3468" s="138"/>
      <c r="S3468" s="72"/>
      <c r="T3468" s="72"/>
      <c r="U3468" s="72"/>
      <c r="V3468" s="72"/>
    </row>
    <row r="3469" spans="1:22" s="63" customFormat="1" ht="15.75" customHeight="1" x14ac:dyDescent="0.25">
      <c r="A3469" s="87">
        <v>32.33</v>
      </c>
      <c r="B3469" s="81" t="s">
        <v>106</v>
      </c>
      <c r="C3469" s="82">
        <v>19</v>
      </c>
      <c r="D3469" s="131" t="s">
        <v>3122</v>
      </c>
      <c r="E3469" s="83" t="s">
        <v>3123</v>
      </c>
      <c r="F3469" s="81" t="s">
        <v>207</v>
      </c>
      <c r="G3469" s="84">
        <v>0.25800000000000001</v>
      </c>
      <c r="H3469" s="85"/>
      <c r="I3469" s="86">
        <v>23319.71</v>
      </c>
      <c r="J3469" s="185">
        <f t="shared" si="339"/>
        <v>102914.04</v>
      </c>
      <c r="K3469" s="189">
        <f t="shared" si="340"/>
        <v>26551.82</v>
      </c>
      <c r="L3469" s="189"/>
      <c r="M3469" s="138"/>
      <c r="N3469" s="138"/>
      <c r="O3469" s="138"/>
      <c r="S3469" s="72"/>
      <c r="T3469" s="72"/>
      <c r="U3469" s="72"/>
      <c r="V3469" s="72"/>
    </row>
    <row r="3470" spans="1:22" s="63" customFormat="1" ht="22.5" x14ac:dyDescent="0.25">
      <c r="A3470" s="87">
        <v>32.340000000000003</v>
      </c>
      <c r="B3470" s="81" t="s">
        <v>106</v>
      </c>
      <c r="C3470" s="80">
        <v>19.100000000000001</v>
      </c>
      <c r="D3470" s="131" t="s">
        <v>3124</v>
      </c>
      <c r="E3470" s="83" t="s">
        <v>3125</v>
      </c>
      <c r="F3470" s="81" t="s">
        <v>207</v>
      </c>
      <c r="G3470" s="89">
        <v>-0.26445000000000002</v>
      </c>
      <c r="H3470" s="85"/>
      <c r="I3470" s="86">
        <v>-4378.55</v>
      </c>
      <c r="J3470" s="185">
        <f t="shared" si="339"/>
        <v>18852.02</v>
      </c>
      <c r="K3470" s="189">
        <f t="shared" si="340"/>
        <v>-4985.42</v>
      </c>
      <c r="L3470" s="189"/>
      <c r="M3470" s="138"/>
      <c r="N3470" s="138"/>
      <c r="O3470" s="138"/>
      <c r="S3470" s="72"/>
      <c r="T3470" s="72"/>
      <c r="U3470" s="72"/>
      <c r="V3470" s="72"/>
    </row>
    <row r="3471" spans="1:22" s="63" customFormat="1" ht="15" customHeight="1" x14ac:dyDescent="0.25">
      <c r="A3471" s="87">
        <v>32.35</v>
      </c>
      <c r="B3471" s="81" t="s">
        <v>106</v>
      </c>
      <c r="C3471" s="80">
        <v>19.2</v>
      </c>
      <c r="D3471" s="131" t="s">
        <v>3131</v>
      </c>
      <c r="E3471" s="83" t="s">
        <v>3132</v>
      </c>
      <c r="F3471" s="81" t="s">
        <v>205</v>
      </c>
      <c r="G3471" s="84">
        <v>0.25800000000000001</v>
      </c>
      <c r="H3471" s="85"/>
      <c r="I3471" s="86">
        <v>12613.77</v>
      </c>
      <c r="J3471" s="185">
        <f t="shared" si="339"/>
        <v>55666.82</v>
      </c>
      <c r="K3471" s="189">
        <f t="shared" si="340"/>
        <v>14362.04</v>
      </c>
      <c r="L3471" s="189"/>
      <c r="M3471" s="138"/>
      <c r="N3471" s="138"/>
      <c r="O3471" s="138"/>
      <c r="S3471" s="72"/>
      <c r="T3471" s="72"/>
      <c r="U3471" s="72"/>
      <c r="V3471" s="72"/>
    </row>
    <row r="3472" spans="1:22" s="63" customFormat="1" ht="15" customHeight="1" x14ac:dyDescent="0.25">
      <c r="A3472" s="87">
        <v>32.36</v>
      </c>
      <c r="B3472" s="81" t="s">
        <v>106</v>
      </c>
      <c r="C3472" s="82">
        <v>20</v>
      </c>
      <c r="D3472" s="131" t="s">
        <v>3133</v>
      </c>
      <c r="E3472" s="83" t="s">
        <v>3134</v>
      </c>
      <c r="F3472" s="81" t="s">
        <v>207</v>
      </c>
      <c r="G3472" s="84">
        <v>0.51600000000000001</v>
      </c>
      <c r="H3472" s="85"/>
      <c r="I3472" s="86">
        <v>14244.02</v>
      </c>
      <c r="J3472" s="185">
        <f t="shared" si="339"/>
        <v>31430.7</v>
      </c>
      <c r="K3472" s="189">
        <f t="shared" si="340"/>
        <v>16218.24</v>
      </c>
      <c r="L3472" s="189"/>
      <c r="M3472" s="138"/>
      <c r="N3472" s="138"/>
      <c r="O3472" s="138"/>
      <c r="S3472" s="72"/>
      <c r="T3472" s="72"/>
      <c r="U3472" s="72"/>
      <c r="V3472" s="72"/>
    </row>
    <row r="3473" spans="1:22" s="63" customFormat="1" ht="15" customHeight="1" x14ac:dyDescent="0.25">
      <c r="A3473" s="87">
        <v>32.369999999999997</v>
      </c>
      <c r="B3473" s="81" t="s">
        <v>106</v>
      </c>
      <c r="C3473" s="80">
        <v>20.100000000000001</v>
      </c>
      <c r="D3473" s="131" t="s">
        <v>3078</v>
      </c>
      <c r="E3473" s="83" t="s">
        <v>3079</v>
      </c>
      <c r="F3473" s="81" t="s">
        <v>226</v>
      </c>
      <c r="G3473" s="90">
        <v>1.3932E-2</v>
      </c>
      <c r="H3473" s="85"/>
      <c r="I3473" s="86">
        <v>1759.84</v>
      </c>
      <c r="J3473" s="185">
        <f t="shared" si="339"/>
        <v>143823.85</v>
      </c>
      <c r="K3473" s="189">
        <f t="shared" si="340"/>
        <v>2003.75</v>
      </c>
      <c r="L3473" s="189"/>
      <c r="M3473" s="138"/>
      <c r="N3473" s="138"/>
      <c r="O3473" s="138"/>
      <c r="S3473" s="72"/>
      <c r="T3473" s="72"/>
      <c r="U3473" s="72"/>
      <c r="V3473" s="72"/>
    </row>
    <row r="3474" spans="1:22" s="63" customFormat="1" ht="15" customHeight="1" x14ac:dyDescent="0.25">
      <c r="A3474" s="87">
        <v>32.380000000000003</v>
      </c>
      <c r="B3474" s="81" t="s">
        <v>106</v>
      </c>
      <c r="C3474" s="80">
        <v>20.2</v>
      </c>
      <c r="D3474" s="131" t="s">
        <v>3135</v>
      </c>
      <c r="E3474" s="83" t="s">
        <v>4110</v>
      </c>
      <c r="F3474" s="81" t="s">
        <v>491</v>
      </c>
      <c r="G3474" s="82">
        <v>4</v>
      </c>
      <c r="H3474" s="85"/>
      <c r="I3474" s="86">
        <v>70403.48</v>
      </c>
      <c r="J3474" s="185">
        <f t="shared" si="339"/>
        <v>20040.349999999999</v>
      </c>
      <c r="K3474" s="189">
        <f t="shared" si="340"/>
        <v>80161.399999999994</v>
      </c>
      <c r="L3474" s="189"/>
      <c r="M3474" s="138"/>
      <c r="N3474" s="138"/>
      <c r="O3474" s="138"/>
      <c r="S3474" s="72"/>
      <c r="T3474" s="72"/>
      <c r="U3474" s="72"/>
      <c r="V3474" s="72"/>
    </row>
    <row r="3475" spans="1:22" s="63" customFormat="1" ht="15" customHeight="1" x14ac:dyDescent="0.25">
      <c r="A3475" s="87">
        <v>32.39</v>
      </c>
      <c r="B3475" s="81" t="s">
        <v>106</v>
      </c>
      <c r="C3475" s="80">
        <v>20.3</v>
      </c>
      <c r="D3475" s="131" t="s">
        <v>3136</v>
      </c>
      <c r="E3475" s="83" t="s">
        <v>4111</v>
      </c>
      <c r="F3475" s="81" t="s">
        <v>491</v>
      </c>
      <c r="G3475" s="82">
        <v>1</v>
      </c>
      <c r="H3475" s="85"/>
      <c r="I3475" s="86">
        <v>15849.02</v>
      </c>
      <c r="J3475" s="185">
        <f t="shared" si="339"/>
        <v>18045.689999999999</v>
      </c>
      <c r="K3475" s="189">
        <f t="shared" si="340"/>
        <v>18045.689999999999</v>
      </c>
      <c r="L3475" s="189"/>
      <c r="M3475" s="138"/>
      <c r="N3475" s="138"/>
      <c r="O3475" s="138"/>
      <c r="S3475" s="72"/>
      <c r="T3475" s="72"/>
      <c r="U3475" s="72"/>
      <c r="V3475" s="72"/>
    </row>
    <row r="3476" spans="1:22" s="63" customFormat="1" ht="15" x14ac:dyDescent="0.25">
      <c r="A3476" s="194">
        <v>33</v>
      </c>
      <c r="B3476" s="418" t="s">
        <v>3137</v>
      </c>
      <c r="C3476" s="418"/>
      <c r="D3476" s="418"/>
      <c r="E3476" s="195" t="s">
        <v>159</v>
      </c>
      <c r="F3476" s="196"/>
      <c r="G3476" s="194">
        <v>1</v>
      </c>
      <c r="H3476" s="197">
        <v>92750.12</v>
      </c>
      <c r="I3476" s="355">
        <f>SUM(I3477:I3480)</f>
        <v>92750.12000000001</v>
      </c>
      <c r="J3476" s="200"/>
      <c r="K3476" s="198">
        <f>SUM(K3477:K3480)</f>
        <v>103740.86000000002</v>
      </c>
      <c r="L3476" s="198"/>
      <c r="M3476" s="207"/>
      <c r="N3476" s="209"/>
      <c r="O3476" s="138"/>
      <c r="S3476" s="72"/>
      <c r="T3476" s="72"/>
      <c r="U3476" s="72"/>
      <c r="V3476" s="72"/>
    </row>
    <row r="3477" spans="1:22" s="63" customFormat="1" ht="15" x14ac:dyDescent="0.25">
      <c r="A3477" s="80">
        <v>33.1</v>
      </c>
      <c r="B3477" s="81" t="s">
        <v>114</v>
      </c>
      <c r="C3477" s="82">
        <v>1</v>
      </c>
      <c r="D3477" s="131" t="s">
        <v>3138</v>
      </c>
      <c r="E3477" s="83" t="s">
        <v>3139</v>
      </c>
      <c r="F3477" s="81" t="s">
        <v>3140</v>
      </c>
      <c r="G3477" s="87">
        <v>0.48</v>
      </c>
      <c r="H3477" s="85"/>
      <c r="I3477" s="86">
        <v>6801.84</v>
      </c>
      <c r="J3477" s="185">
        <f>ROUND($I3477/$G3477*$N$12,2)</f>
        <v>15849.7</v>
      </c>
      <c r="K3477" s="189">
        <f>ROUND(G3477*J3477,2)</f>
        <v>7607.86</v>
      </c>
      <c r="L3477" s="189"/>
      <c r="M3477" s="138"/>
      <c r="N3477" s="138"/>
      <c r="O3477" s="138"/>
      <c r="S3477" s="72"/>
      <c r="T3477" s="72"/>
      <c r="U3477" s="72"/>
      <c r="V3477" s="72"/>
    </row>
    <row r="3478" spans="1:22" s="63" customFormat="1" ht="15" x14ac:dyDescent="0.25">
      <c r="A3478" s="80">
        <v>33.200000000000003</v>
      </c>
      <c r="B3478" s="81" t="s">
        <v>114</v>
      </c>
      <c r="C3478" s="82">
        <v>2</v>
      </c>
      <c r="D3478" s="131" t="s">
        <v>3141</v>
      </c>
      <c r="E3478" s="83" t="s">
        <v>3142</v>
      </c>
      <c r="F3478" s="81" t="s">
        <v>2414</v>
      </c>
      <c r="G3478" s="82">
        <v>24</v>
      </c>
      <c r="H3478" s="85"/>
      <c r="I3478" s="86">
        <v>32010.9</v>
      </c>
      <c r="J3478" s="185">
        <f>ROUND($I3478/$G3478*$N$12,2)</f>
        <v>1491.84</v>
      </c>
      <c r="K3478" s="189">
        <f>ROUND(G3478*J3478,2)</f>
        <v>35804.160000000003</v>
      </c>
      <c r="L3478" s="189"/>
      <c r="M3478" s="138"/>
      <c r="N3478" s="138"/>
      <c r="O3478" s="138"/>
      <c r="S3478" s="72"/>
      <c r="T3478" s="72"/>
      <c r="U3478" s="72"/>
      <c r="V3478" s="72"/>
    </row>
    <row r="3479" spans="1:22" s="63" customFormat="1" ht="15" x14ac:dyDescent="0.25">
      <c r="A3479" s="80">
        <v>33.299999999999997</v>
      </c>
      <c r="B3479" s="81" t="s">
        <v>114</v>
      </c>
      <c r="C3479" s="82">
        <v>3</v>
      </c>
      <c r="D3479" s="131" t="s">
        <v>3143</v>
      </c>
      <c r="E3479" s="83" t="s">
        <v>3144</v>
      </c>
      <c r="F3479" s="81" t="s">
        <v>2414</v>
      </c>
      <c r="G3479" s="82">
        <v>2</v>
      </c>
      <c r="H3479" s="85"/>
      <c r="I3479" s="86">
        <v>7082.94</v>
      </c>
      <c r="J3479" s="185">
        <f>ROUND($I3479/$G3479*$N$12,2)</f>
        <v>3961.13</v>
      </c>
      <c r="K3479" s="189">
        <f>ROUND(G3479*J3479,2)</f>
        <v>7922.26</v>
      </c>
      <c r="L3479" s="189"/>
      <c r="M3479" s="138"/>
      <c r="N3479" s="138"/>
      <c r="O3479" s="138"/>
      <c r="S3479" s="72"/>
      <c r="T3479" s="72"/>
      <c r="U3479" s="72"/>
      <c r="V3479" s="72"/>
    </row>
    <row r="3480" spans="1:22" s="63" customFormat="1" ht="22.5" x14ac:dyDescent="0.25">
      <c r="A3480" s="80">
        <v>33.4</v>
      </c>
      <c r="B3480" s="81" t="s">
        <v>114</v>
      </c>
      <c r="C3480" s="82">
        <v>4</v>
      </c>
      <c r="D3480" s="131" t="s">
        <v>3145</v>
      </c>
      <c r="E3480" s="83" t="s">
        <v>3146</v>
      </c>
      <c r="F3480" s="81" t="s">
        <v>219</v>
      </c>
      <c r="G3480" s="82">
        <v>51</v>
      </c>
      <c r="H3480" s="85"/>
      <c r="I3480" s="86">
        <v>46854.44</v>
      </c>
      <c r="J3480" s="185">
        <f>ROUND($I3480/$G3480*$N$12,2)</f>
        <v>1027.58</v>
      </c>
      <c r="K3480" s="189">
        <f>ROUND(G3480*J3480,2)</f>
        <v>52406.58</v>
      </c>
      <c r="L3480" s="189"/>
      <c r="M3480" s="138"/>
      <c r="N3480" s="138"/>
      <c r="O3480" s="138"/>
      <c r="S3480" s="72"/>
      <c r="T3480" s="72"/>
      <c r="U3480" s="72"/>
      <c r="V3480" s="72"/>
    </row>
    <row r="3481" spans="1:22" s="63" customFormat="1" ht="15" x14ac:dyDescent="0.25">
      <c r="A3481" s="194">
        <v>34</v>
      </c>
      <c r="B3481" s="418" t="s">
        <v>3147</v>
      </c>
      <c r="C3481" s="418"/>
      <c r="D3481" s="418"/>
      <c r="E3481" s="195" t="s">
        <v>117</v>
      </c>
      <c r="F3481" s="196"/>
      <c r="G3481" s="194">
        <v>1</v>
      </c>
      <c r="H3481" s="197">
        <v>11616.15</v>
      </c>
      <c r="I3481" s="355">
        <f>SUM(I3482)</f>
        <v>11616.15</v>
      </c>
      <c r="J3481" s="200"/>
      <c r="K3481" s="198">
        <f>SUM(K3482)</f>
        <v>12992.66</v>
      </c>
      <c r="L3481" s="198"/>
      <c r="M3481" s="207"/>
      <c r="N3481" s="209"/>
      <c r="O3481" s="138"/>
      <c r="S3481" s="72"/>
      <c r="T3481" s="72"/>
      <c r="U3481" s="72"/>
      <c r="V3481" s="72"/>
    </row>
    <row r="3482" spans="1:22" s="63" customFormat="1" ht="15" x14ac:dyDescent="0.25">
      <c r="A3482" s="80">
        <v>34.1</v>
      </c>
      <c r="B3482" s="81" t="s">
        <v>115</v>
      </c>
      <c r="C3482" s="82">
        <v>1</v>
      </c>
      <c r="D3482" s="131" t="s">
        <v>3148</v>
      </c>
      <c r="E3482" s="83" t="s">
        <v>3149</v>
      </c>
      <c r="F3482" s="81" t="s">
        <v>219</v>
      </c>
      <c r="G3482" s="82">
        <v>1</v>
      </c>
      <c r="H3482" s="85"/>
      <c r="I3482" s="86">
        <v>11616.15</v>
      </c>
      <c r="J3482" s="185">
        <f>ROUND($I3482/$G3482*$N$12,2)</f>
        <v>12992.66</v>
      </c>
      <c r="K3482" s="189">
        <f>ROUND(G3482*J3482,2)</f>
        <v>12992.66</v>
      </c>
      <c r="L3482" s="189"/>
      <c r="M3482" s="138"/>
      <c r="N3482" s="138"/>
      <c r="O3482" s="138"/>
      <c r="S3482" s="72"/>
      <c r="T3482" s="72"/>
      <c r="U3482" s="72"/>
      <c r="V3482" s="72"/>
    </row>
    <row r="3483" spans="1:22" s="63" customFormat="1" ht="15" x14ac:dyDescent="0.25">
      <c r="A3483" s="194">
        <v>35</v>
      </c>
      <c r="B3483" s="418" t="s">
        <v>3150</v>
      </c>
      <c r="C3483" s="418"/>
      <c r="D3483" s="418"/>
      <c r="E3483" s="195" t="s">
        <v>121</v>
      </c>
      <c r="F3483" s="196"/>
      <c r="G3483" s="194">
        <v>1</v>
      </c>
      <c r="H3483" s="197">
        <v>343991.09</v>
      </c>
      <c r="I3483" s="355">
        <f>SUM(I3484:I3485)</f>
        <v>343991.09</v>
      </c>
      <c r="J3483" s="200"/>
      <c r="K3483" s="198">
        <f>SUM(K3484:K3485)</f>
        <v>384750.38999999996</v>
      </c>
      <c r="L3483" s="198"/>
      <c r="M3483" s="207"/>
      <c r="N3483" s="209"/>
      <c r="O3483" s="138"/>
      <c r="S3483" s="72"/>
      <c r="T3483" s="72"/>
      <c r="U3483" s="72"/>
      <c r="V3483" s="72"/>
    </row>
    <row r="3484" spans="1:22" s="63" customFormat="1" ht="33.75" x14ac:dyDescent="0.25">
      <c r="A3484" s="80">
        <v>35.1</v>
      </c>
      <c r="B3484" s="81" t="s">
        <v>116</v>
      </c>
      <c r="C3484" s="82">
        <v>1</v>
      </c>
      <c r="D3484" s="131" t="s">
        <v>3151</v>
      </c>
      <c r="E3484" s="83" t="s">
        <v>3152</v>
      </c>
      <c r="F3484" s="81" t="s">
        <v>3153</v>
      </c>
      <c r="G3484" s="82">
        <v>1</v>
      </c>
      <c r="H3484" s="85"/>
      <c r="I3484" s="294">
        <f>405319.7</f>
        <v>405319.7</v>
      </c>
      <c r="J3484" s="214">
        <f>ROUND($I3484/$G3484*$N$12,2)-3.61</f>
        <v>453346.47000000003</v>
      </c>
      <c r="K3484" s="189">
        <f>ROUND(G3484*J3484,2)</f>
        <v>453346.47</v>
      </c>
      <c r="L3484" s="189"/>
      <c r="M3484" s="138"/>
      <c r="N3484" s="138"/>
      <c r="O3484" s="138"/>
      <c r="S3484" s="72"/>
      <c r="T3484" s="72"/>
      <c r="U3484" s="72"/>
      <c r="V3484" s="72"/>
    </row>
    <row r="3485" spans="1:22" s="63" customFormat="1" ht="22.5" x14ac:dyDescent="0.25">
      <c r="A3485" s="80">
        <v>35.200000000000003</v>
      </c>
      <c r="B3485" s="81" t="s">
        <v>116</v>
      </c>
      <c r="C3485" s="82">
        <v>2</v>
      </c>
      <c r="D3485" s="131" t="s">
        <v>3154</v>
      </c>
      <c r="E3485" s="83" t="s">
        <v>3155</v>
      </c>
      <c r="F3485" s="81" t="s">
        <v>3156</v>
      </c>
      <c r="G3485" s="82">
        <v>-8</v>
      </c>
      <c r="H3485" s="85"/>
      <c r="I3485" s="86">
        <v>-61328.61</v>
      </c>
      <c r="J3485" s="185">
        <f>ROUND($I3485/$G3485*$N$12,2)</f>
        <v>8574.51</v>
      </c>
      <c r="K3485" s="189">
        <f>ROUND(G3485*J3485,2)</f>
        <v>-68596.08</v>
      </c>
      <c r="L3485" s="189"/>
      <c r="M3485" s="138"/>
      <c r="N3485" s="138"/>
      <c r="O3485" s="138"/>
      <c r="S3485" s="72"/>
      <c r="T3485" s="72"/>
      <c r="U3485" s="72"/>
      <c r="V3485" s="72"/>
    </row>
    <row r="3486" spans="1:22" s="63" customFormat="1" ht="15" x14ac:dyDescent="0.25">
      <c r="A3486" s="194">
        <v>36</v>
      </c>
      <c r="B3486" s="418" t="s">
        <v>3157</v>
      </c>
      <c r="C3486" s="418"/>
      <c r="D3486" s="418"/>
      <c r="E3486" s="195" t="s">
        <v>119</v>
      </c>
      <c r="F3486" s="196"/>
      <c r="G3486" s="194">
        <v>1</v>
      </c>
      <c r="H3486" s="197">
        <v>315269.02</v>
      </c>
      <c r="I3486" s="355">
        <f>SUM(I3487:I3489)</f>
        <v>315269.02</v>
      </c>
      <c r="J3486" s="200"/>
      <c r="K3486" s="198">
        <f>SUM(K3487:K3489)</f>
        <v>352628.49999999994</v>
      </c>
      <c r="L3486" s="198"/>
      <c r="M3486" s="207"/>
      <c r="N3486" s="209"/>
      <c r="O3486" s="138"/>
      <c r="S3486" s="72"/>
      <c r="T3486" s="72"/>
      <c r="U3486" s="72"/>
      <c r="V3486" s="72"/>
    </row>
    <row r="3487" spans="1:22" s="63" customFormat="1" ht="15" x14ac:dyDescent="0.25">
      <c r="A3487" s="80">
        <v>36.1</v>
      </c>
      <c r="B3487" s="81" t="s">
        <v>118</v>
      </c>
      <c r="C3487" s="82">
        <v>1</v>
      </c>
      <c r="D3487" s="131" t="s">
        <v>3158</v>
      </c>
      <c r="E3487" s="83" t="s">
        <v>3159</v>
      </c>
      <c r="F3487" s="81" t="s">
        <v>219</v>
      </c>
      <c r="G3487" s="82">
        <v>41</v>
      </c>
      <c r="H3487" s="85"/>
      <c r="I3487" s="86">
        <v>120310.5</v>
      </c>
      <c r="J3487" s="185">
        <f>ROUND($I3487/$G3487*$N$12,2)</f>
        <v>3282.13</v>
      </c>
      <c r="K3487" s="189">
        <f>ROUND(G3487*J3487,2)</f>
        <v>134567.32999999999</v>
      </c>
      <c r="L3487" s="189"/>
      <c r="M3487" s="138"/>
      <c r="N3487" s="138"/>
      <c r="O3487" s="138"/>
      <c r="S3487" s="72"/>
      <c r="T3487" s="72"/>
      <c r="U3487" s="72"/>
      <c r="V3487" s="72"/>
    </row>
    <row r="3488" spans="1:22" s="63" customFormat="1" ht="22.5" x14ac:dyDescent="0.25">
      <c r="A3488" s="80">
        <v>36.200000000000003</v>
      </c>
      <c r="B3488" s="81" t="s">
        <v>118</v>
      </c>
      <c r="C3488" s="82">
        <v>2</v>
      </c>
      <c r="D3488" s="131" t="s">
        <v>3160</v>
      </c>
      <c r="E3488" s="83" t="s">
        <v>3161</v>
      </c>
      <c r="F3488" s="81" t="s">
        <v>3162</v>
      </c>
      <c r="G3488" s="82">
        <v>19</v>
      </c>
      <c r="H3488" s="85"/>
      <c r="I3488" s="86">
        <v>129521.16</v>
      </c>
      <c r="J3488" s="185">
        <f>ROUND($I3488/$G3488*$N$12,2)</f>
        <v>7624.71</v>
      </c>
      <c r="K3488" s="189">
        <f>ROUND(G3488*J3488,2)</f>
        <v>144869.49</v>
      </c>
      <c r="L3488" s="189"/>
      <c r="M3488" s="138"/>
      <c r="N3488" s="138"/>
      <c r="O3488" s="138"/>
      <c r="S3488" s="72"/>
      <c r="T3488" s="72"/>
      <c r="U3488" s="72"/>
      <c r="V3488" s="72"/>
    </row>
    <row r="3489" spans="1:22" s="63" customFormat="1" ht="15" x14ac:dyDescent="0.25">
      <c r="A3489" s="80">
        <v>36.299999999999997</v>
      </c>
      <c r="B3489" s="81" t="s">
        <v>118</v>
      </c>
      <c r="C3489" s="82">
        <v>3</v>
      </c>
      <c r="D3489" s="131" t="s">
        <v>3163</v>
      </c>
      <c r="E3489" s="83" t="s">
        <v>3164</v>
      </c>
      <c r="F3489" s="81" t="s">
        <v>2234</v>
      </c>
      <c r="G3489" s="82">
        <v>2</v>
      </c>
      <c r="H3489" s="85"/>
      <c r="I3489" s="86">
        <v>65437.36</v>
      </c>
      <c r="J3489" s="185">
        <f>ROUND($I3489/$G3489*$N$12,2)</f>
        <v>36595.839999999997</v>
      </c>
      <c r="K3489" s="189">
        <f>ROUND(G3489*J3489,2)</f>
        <v>73191.679999999993</v>
      </c>
      <c r="L3489" s="189"/>
      <c r="M3489" s="138"/>
      <c r="N3489" s="138"/>
      <c r="O3489" s="138"/>
      <c r="S3489" s="72"/>
      <c r="T3489" s="72"/>
      <c r="U3489" s="72"/>
      <c r="V3489" s="72"/>
    </row>
    <row r="3490" spans="1:22" s="63" customFormat="1" ht="15" x14ac:dyDescent="0.25">
      <c r="A3490" s="194">
        <v>37</v>
      </c>
      <c r="B3490" s="418" t="s">
        <v>3165</v>
      </c>
      <c r="C3490" s="418"/>
      <c r="D3490" s="418"/>
      <c r="E3490" s="195" t="s">
        <v>160</v>
      </c>
      <c r="F3490" s="196"/>
      <c r="G3490" s="194">
        <v>1</v>
      </c>
      <c r="H3490" s="197">
        <v>73874.259999999995</v>
      </c>
      <c r="I3490" s="355">
        <f>I3491</f>
        <v>73874.259999999995</v>
      </c>
      <c r="J3490" s="200"/>
      <c r="K3490" s="198">
        <f>K3491</f>
        <v>82628.36</v>
      </c>
      <c r="L3490" s="198"/>
      <c r="M3490" s="207"/>
      <c r="N3490" s="209"/>
      <c r="O3490" s="138"/>
      <c r="S3490" s="72"/>
      <c r="T3490" s="72"/>
      <c r="U3490" s="72"/>
      <c r="V3490" s="72"/>
    </row>
    <row r="3491" spans="1:22" s="63" customFormat="1" ht="22.5" x14ac:dyDescent="0.25">
      <c r="A3491" s="80">
        <v>37.1</v>
      </c>
      <c r="B3491" s="81" t="s">
        <v>120</v>
      </c>
      <c r="C3491" s="82">
        <v>1</v>
      </c>
      <c r="D3491" s="131" t="s">
        <v>3166</v>
      </c>
      <c r="E3491" s="83" t="s">
        <v>3167</v>
      </c>
      <c r="F3491" s="81" t="s">
        <v>2234</v>
      </c>
      <c r="G3491" s="82">
        <v>1</v>
      </c>
      <c r="H3491" s="85"/>
      <c r="I3491" s="86">
        <v>73874.259999999995</v>
      </c>
      <c r="J3491" s="185">
        <f>ROUND($I3491/$G3491*$N$12,2)</f>
        <v>82628.36</v>
      </c>
      <c r="K3491" s="189">
        <f>ROUND(G3491*J3491,2)</f>
        <v>82628.36</v>
      </c>
      <c r="L3491" s="189"/>
      <c r="M3491" s="138"/>
      <c r="N3491" s="138"/>
      <c r="O3491" s="138"/>
      <c r="S3491" s="72"/>
      <c r="T3491" s="72"/>
      <c r="U3491" s="72"/>
      <c r="V3491" s="72"/>
    </row>
    <row r="3492" spans="1:22" s="63" customFormat="1" ht="15" x14ac:dyDescent="0.25">
      <c r="A3492" s="194">
        <v>38</v>
      </c>
      <c r="B3492" s="418" t="s">
        <v>3168</v>
      </c>
      <c r="C3492" s="418"/>
      <c r="D3492" s="418"/>
      <c r="E3492" s="195" t="s">
        <v>162</v>
      </c>
      <c r="F3492" s="196"/>
      <c r="G3492" s="194">
        <v>1</v>
      </c>
      <c r="H3492" s="197">
        <v>462042.97</v>
      </c>
      <c r="I3492" s="355">
        <f>SUM(I3493:I3494)</f>
        <v>462042.97</v>
      </c>
      <c r="J3492" s="200"/>
      <c r="K3492" s="198">
        <f>SUM(K3493:K3494)</f>
        <v>516795.06</v>
      </c>
      <c r="L3492" s="198"/>
      <c r="M3492" s="207"/>
      <c r="N3492" s="209"/>
      <c r="O3492" s="138"/>
      <c r="S3492" s="72"/>
      <c r="T3492" s="72"/>
      <c r="U3492" s="72"/>
      <c r="V3492" s="72"/>
    </row>
    <row r="3493" spans="1:22" s="63" customFormat="1" ht="15" x14ac:dyDescent="0.25">
      <c r="A3493" s="80">
        <v>38.1</v>
      </c>
      <c r="B3493" s="81" t="s">
        <v>161</v>
      </c>
      <c r="C3493" s="82">
        <v>1</v>
      </c>
      <c r="D3493" s="131" t="s">
        <v>3169</v>
      </c>
      <c r="E3493" s="83" t="s">
        <v>3170</v>
      </c>
      <c r="F3493" s="81" t="s">
        <v>219</v>
      </c>
      <c r="G3493" s="82">
        <v>3</v>
      </c>
      <c r="H3493" s="85"/>
      <c r="I3493" s="86">
        <v>21259.72</v>
      </c>
      <c r="J3493" s="185">
        <f>ROUND($I3493/$G3493*$N$12,2)</f>
        <v>7926.33</v>
      </c>
      <c r="K3493" s="189">
        <f>ROUND(G3493*J3493,2)</f>
        <v>23778.99</v>
      </c>
      <c r="L3493" s="189"/>
      <c r="M3493" s="138"/>
      <c r="N3493" s="138"/>
      <c r="O3493" s="138"/>
      <c r="S3493" s="72"/>
      <c r="T3493" s="72"/>
      <c r="U3493" s="72"/>
      <c r="V3493" s="72"/>
    </row>
    <row r="3494" spans="1:22" s="63" customFormat="1" ht="22.5" x14ac:dyDescent="0.25">
      <c r="A3494" s="80">
        <v>38.200000000000003</v>
      </c>
      <c r="B3494" s="81" t="s">
        <v>161</v>
      </c>
      <c r="C3494" s="82">
        <v>2</v>
      </c>
      <c r="D3494" s="131" t="s">
        <v>3171</v>
      </c>
      <c r="E3494" s="83" t="s">
        <v>3172</v>
      </c>
      <c r="F3494" s="81" t="s">
        <v>219</v>
      </c>
      <c r="G3494" s="82">
        <v>3</v>
      </c>
      <c r="H3494" s="85"/>
      <c r="I3494" s="86">
        <v>440783.25</v>
      </c>
      <c r="J3494" s="185">
        <f>ROUND($I3494/$G3494*$N$12,2)</f>
        <v>164338.69</v>
      </c>
      <c r="K3494" s="189">
        <f>ROUND(G3494*J3494,2)</f>
        <v>493016.07</v>
      </c>
      <c r="L3494" s="189"/>
      <c r="M3494" s="138"/>
      <c r="N3494" s="138"/>
      <c r="O3494" s="138"/>
      <c r="S3494" s="72"/>
      <c r="T3494" s="72"/>
      <c r="U3494" s="72"/>
      <c r="V3494" s="72"/>
    </row>
    <row r="3495" spans="1:22" s="128" customFormat="1" ht="12.75" x14ac:dyDescent="0.25">
      <c r="A3495" s="194">
        <v>39</v>
      </c>
      <c r="B3495" s="201"/>
      <c r="C3495" s="194"/>
      <c r="D3495" s="196"/>
      <c r="E3495" s="202" t="s">
        <v>3173</v>
      </c>
      <c r="F3495" s="201"/>
      <c r="G3495" s="194"/>
      <c r="H3495" s="203">
        <f>17960</f>
        <v>17960</v>
      </c>
      <c r="I3495" s="355">
        <f>I3496</f>
        <v>17959.95</v>
      </c>
      <c r="J3495" s="200"/>
      <c r="K3495" s="198">
        <f>K3496</f>
        <v>20088.2</v>
      </c>
      <c r="L3495" s="198"/>
      <c r="M3495" s="207"/>
      <c r="N3495" s="209"/>
      <c r="O3495" s="138"/>
      <c r="S3495" s="129"/>
      <c r="T3495" s="129"/>
      <c r="U3495" s="129"/>
      <c r="V3495" s="129"/>
    </row>
    <row r="3496" spans="1:22" s="132" customFormat="1" ht="12.75" x14ac:dyDescent="0.25">
      <c r="A3496" s="82" t="s">
        <v>3174</v>
      </c>
      <c r="B3496" s="419" t="s">
        <v>3175</v>
      </c>
      <c r="C3496" s="420"/>
      <c r="D3496" s="421"/>
      <c r="E3496" s="130" t="s">
        <v>3176</v>
      </c>
      <c r="F3496" s="131" t="s">
        <v>4210</v>
      </c>
      <c r="G3496" s="82">
        <v>1</v>
      </c>
      <c r="H3496" s="295">
        <f>17960-0.05</f>
        <v>17959.95</v>
      </c>
      <c r="I3496" s="86">
        <f>G3496*H3496</f>
        <v>17959.95</v>
      </c>
      <c r="J3496" s="185">
        <f>ROUND($I3496/$G3496*$N$12,2)</f>
        <v>20088.2</v>
      </c>
      <c r="K3496" s="189">
        <f>ROUND(G3496*J3496,2)</f>
        <v>20088.2</v>
      </c>
      <c r="L3496" s="189"/>
      <c r="M3496" s="138"/>
      <c r="N3496" s="138"/>
      <c r="O3496" s="138"/>
      <c r="S3496" s="133"/>
      <c r="T3496" s="133"/>
      <c r="U3496" s="133"/>
      <c r="V3496" s="133"/>
    </row>
    <row r="3497" spans="1:22" s="137" customFormat="1" ht="12.75" x14ac:dyDescent="0.25">
      <c r="A3497" s="134"/>
      <c r="B3497" s="135"/>
      <c r="C3497" s="135"/>
      <c r="D3497" s="170"/>
      <c r="E3497" s="136" t="s">
        <v>3177</v>
      </c>
      <c r="F3497" s="136"/>
      <c r="G3497" s="136"/>
      <c r="H3497" s="136"/>
      <c r="I3497" s="78">
        <f>I17+I280+I425+I460+I556+I613+I705+I990+I1076+I1638+I1727+I1866+I2116+I2122+I2224+I2342+I2362+I2436+I2516+I2540+I2598+I2620+I2745+I2825+I3105+I3121+I3160+I3190+I3273+I3347+I3384+I3431+I3476+I3481+I3483+I3486+I3490+I3492+I3495</f>
        <v>204921979.02000004</v>
      </c>
      <c r="J3497" s="185"/>
      <c r="K3497" s="78">
        <f>K17+K280+K425+K460+K556+K613+K705+K990+K1076+K1638+K1727+K1866+K2116+K2122+K2224+K2342+K2362+K2436+K2516+K2540+K2598+K2620+K2745+K2825+K3105+K3121+K3160+K3190+K3273+K3347+K3384+K3431+K3476+K3481+K3483+K3486+K3490+K3492+K3495</f>
        <v>232156851.68000001</v>
      </c>
      <c r="L3497" s="78"/>
      <c r="M3497" s="211">
        <f>M3499+M3500+M3501+M3502</f>
        <v>232156851.67999998</v>
      </c>
      <c r="N3497" s="211"/>
      <c r="O3497" s="209"/>
      <c r="P3497" s="212"/>
      <c r="S3497" s="139"/>
      <c r="T3497" s="140"/>
      <c r="U3497" s="139"/>
      <c r="V3497" s="139"/>
    </row>
    <row r="3498" spans="1:22" s="144" customFormat="1" ht="12.75" x14ac:dyDescent="0.25">
      <c r="A3498" s="141"/>
      <c r="B3498" s="142"/>
      <c r="C3498" s="142"/>
      <c r="D3498" s="171"/>
      <c r="E3498" s="143" t="s">
        <v>1357</v>
      </c>
      <c r="F3498" s="143"/>
      <c r="G3498" s="143"/>
      <c r="H3498" s="143"/>
      <c r="I3498" s="176"/>
      <c r="J3498" s="190"/>
      <c r="K3498" s="176"/>
      <c r="L3498" s="176"/>
      <c r="M3498" s="184"/>
      <c r="N3498" s="184"/>
      <c r="O3498" s="184"/>
      <c r="P3498" s="98"/>
      <c r="S3498" s="145"/>
      <c r="T3498" s="146"/>
      <c r="U3498" s="145"/>
      <c r="V3498" s="145"/>
    </row>
    <row r="3499" spans="1:22" s="150" customFormat="1" ht="12.75" x14ac:dyDescent="0.25">
      <c r="A3499" s="147"/>
      <c r="B3499" s="148"/>
      <c r="C3499" s="148"/>
      <c r="D3499" s="172"/>
      <c r="E3499" s="149" t="s">
        <v>3178</v>
      </c>
      <c r="F3499" s="149"/>
      <c r="G3499" s="149"/>
      <c r="H3499" s="149"/>
      <c r="I3499" s="177">
        <f>I3497-I3500-I3501-I3502</f>
        <v>146850829.87</v>
      </c>
      <c r="J3499" s="187"/>
      <c r="K3499" s="177">
        <f>K3497-K3500-K3501-K3502</f>
        <v>167204304.28000003</v>
      </c>
      <c r="L3499" s="177"/>
      <c r="M3499" s="210">
        <f>'НМЦК 2025'!F22+'НМЦК 2025'!F26</f>
        <v>167204304.28</v>
      </c>
      <c r="N3499" s="210">
        <f>M3499-K3499</f>
        <v>0</v>
      </c>
      <c r="O3499" s="209">
        <f>N3499/1.18/N11</f>
        <v>0</v>
      </c>
      <c r="P3499" s="293"/>
      <c r="S3499" s="151"/>
      <c r="T3499" s="152"/>
      <c r="U3499" s="151"/>
      <c r="V3499" s="151"/>
    </row>
    <row r="3500" spans="1:22" s="150" customFormat="1" ht="12.75" x14ac:dyDescent="0.25">
      <c r="A3500" s="147"/>
      <c r="B3500" s="148"/>
      <c r="C3500" s="148"/>
      <c r="D3500" s="172"/>
      <c r="E3500" s="149" t="s">
        <v>137</v>
      </c>
      <c r="F3500" s="149"/>
      <c r="G3500" s="149"/>
      <c r="H3500" s="149"/>
      <c r="I3500" s="177">
        <f>I614+I706+I991+I1077+I1639+I1867+I2117+I2225+I2343+I2363+I2437+I2517+I2541+I2621+I2826+I3106+I3122+I3161</f>
        <v>56753645.590000018</v>
      </c>
      <c r="J3500" s="187"/>
      <c r="K3500" s="177">
        <f>K614+K706+K991+K1077+K1639+K1867+K2117+K2225+K2343+K2363+K2437+K2517+K2541+K2621+K2826+K3106+K3122+K3161</f>
        <v>63478927.969999999</v>
      </c>
      <c r="L3500" s="177"/>
      <c r="M3500" s="210">
        <f>'НМЦК 2025'!F23</f>
        <v>63478927.969999999</v>
      </c>
      <c r="N3500" s="210">
        <f>M3500-K3500</f>
        <v>0</v>
      </c>
      <c r="O3500" s="209">
        <f>N3500/N12</f>
        <v>0</v>
      </c>
      <c r="P3500" s="293"/>
      <c r="S3500" s="151"/>
      <c r="T3500" s="153"/>
      <c r="U3500" s="151"/>
      <c r="V3500" s="151"/>
    </row>
    <row r="3501" spans="1:22" s="150" customFormat="1" ht="12.75" x14ac:dyDescent="0.25">
      <c r="A3501" s="147"/>
      <c r="B3501" s="148"/>
      <c r="C3501" s="148"/>
      <c r="D3501" s="172"/>
      <c r="E3501" s="149" t="s">
        <v>138</v>
      </c>
      <c r="F3501" s="149"/>
      <c r="G3501" s="149"/>
      <c r="H3501" s="149"/>
      <c r="I3501" s="177">
        <f>I3476+I3481+I3483+I3486+I3490+I3492</f>
        <v>1299543.6100000001</v>
      </c>
      <c r="J3501" s="187"/>
      <c r="K3501" s="177">
        <f>K3476+K3481+K3483+K3486+K3490+K3492-4.6</f>
        <v>1453531.2299999997</v>
      </c>
      <c r="L3501" s="177"/>
      <c r="M3501" s="210">
        <f>'НМЦК 2025'!F24</f>
        <v>1453531.23</v>
      </c>
      <c r="N3501" s="210">
        <f>M3501-K3501</f>
        <v>0</v>
      </c>
      <c r="O3501" s="209">
        <f>N3501/N12</f>
        <v>0</v>
      </c>
      <c r="P3501" s="293"/>
      <c r="S3501" s="151"/>
      <c r="T3501" s="153"/>
      <c r="U3501" s="151"/>
      <c r="V3501" s="151"/>
    </row>
    <row r="3502" spans="1:22" s="150" customFormat="1" ht="12.75" x14ac:dyDescent="0.25">
      <c r="A3502" s="154"/>
      <c r="B3502" s="155"/>
      <c r="C3502" s="155"/>
      <c r="D3502" s="173"/>
      <c r="E3502" s="155" t="s">
        <v>3179</v>
      </c>
      <c r="F3502" s="155"/>
      <c r="G3502" s="155"/>
      <c r="H3502" s="155"/>
      <c r="I3502" s="177">
        <f>I3495</f>
        <v>17959.95</v>
      </c>
      <c r="J3502" s="187"/>
      <c r="K3502" s="177">
        <f>K3495</f>
        <v>20088.2</v>
      </c>
      <c r="L3502" s="177"/>
      <c r="M3502" s="292">
        <f>'НМЦК 2025'!F25</f>
        <v>20088.2</v>
      </c>
      <c r="N3502" s="210">
        <f t="shared" ref="N3502:N3506" si="341">M3502-K3502</f>
        <v>0</v>
      </c>
      <c r="O3502" s="209">
        <f>N3502/N12</f>
        <v>0</v>
      </c>
      <c r="P3502" s="293"/>
      <c r="Q3502" s="99"/>
      <c r="S3502" s="151"/>
      <c r="T3502" s="153"/>
      <c r="U3502" s="151"/>
      <c r="V3502" s="151"/>
    </row>
    <row r="3503" spans="1:22" s="137" customFormat="1" ht="12.75" hidden="1" outlineLevel="1" x14ac:dyDescent="0.25">
      <c r="A3503" s="156"/>
      <c r="B3503" s="157"/>
      <c r="C3503" s="157"/>
      <c r="D3503" s="174"/>
      <c r="E3503" s="157" t="s">
        <v>3180</v>
      </c>
      <c r="F3503" s="157"/>
      <c r="G3503" s="157"/>
      <c r="H3503" s="157"/>
      <c r="I3503" s="178">
        <f>ROUND(I3499*1.8%,2)</f>
        <v>2643314.94</v>
      </c>
      <c r="J3503" s="185"/>
      <c r="K3503" s="178">
        <v>0</v>
      </c>
      <c r="L3503" s="178"/>
      <c r="M3503" s="208"/>
      <c r="N3503" s="210">
        <f t="shared" si="341"/>
        <v>0</v>
      </c>
      <c r="O3503" s="139"/>
      <c r="Q3503" s="138"/>
      <c r="S3503" s="139"/>
      <c r="T3503" s="140"/>
      <c r="U3503" s="139"/>
      <c r="V3503" s="139"/>
    </row>
    <row r="3504" spans="1:22" s="137" customFormat="1" ht="12.75" collapsed="1" x14ac:dyDescent="0.25">
      <c r="A3504" s="156"/>
      <c r="B3504" s="157"/>
      <c r="C3504" s="157"/>
      <c r="D3504" s="174"/>
      <c r="E3504" s="157" t="s">
        <v>178</v>
      </c>
      <c r="F3504" s="157"/>
      <c r="G3504" s="157"/>
      <c r="H3504" s="157"/>
      <c r="I3504" s="178">
        <f>ROUND((I3497+I3503)*1%,2)</f>
        <v>2075652.94</v>
      </c>
      <c r="J3504" s="185"/>
      <c r="K3504" s="178">
        <f>ROUND(K3497*1%,2)</f>
        <v>2321568.52</v>
      </c>
      <c r="L3504" s="178"/>
      <c r="M3504" s="208">
        <f>ROUND(M3497*1%,2)</f>
        <v>2321568.52</v>
      </c>
      <c r="N3504" s="210">
        <f t="shared" si="341"/>
        <v>0</v>
      </c>
      <c r="O3504" s="139"/>
      <c r="Q3504" s="138"/>
      <c r="S3504" s="139"/>
      <c r="T3504" s="140"/>
      <c r="U3504" s="139"/>
      <c r="V3504" s="139"/>
    </row>
    <row r="3505" spans="1:22" s="137" customFormat="1" ht="12.75" x14ac:dyDescent="0.25">
      <c r="A3505" s="156"/>
      <c r="B3505" s="157"/>
      <c r="C3505" s="157"/>
      <c r="D3505" s="174"/>
      <c r="E3505" s="157" t="s">
        <v>3181</v>
      </c>
      <c r="F3505" s="157"/>
      <c r="G3505" s="157"/>
      <c r="H3505" s="157"/>
      <c r="I3505" s="178">
        <f>I3497+I3503+I3504</f>
        <v>209640946.90000004</v>
      </c>
      <c r="J3505" s="185"/>
      <c r="K3505" s="178">
        <f>K3497+K3504</f>
        <v>234478420.20000002</v>
      </c>
      <c r="L3505" s="178"/>
      <c r="M3505" s="208">
        <f>M3497+M3504</f>
        <v>234478420.19999999</v>
      </c>
      <c r="N3505" s="210">
        <f t="shared" si="341"/>
        <v>0</v>
      </c>
      <c r="O3505" s="209"/>
      <c r="Q3505" s="138"/>
      <c r="S3505" s="139"/>
      <c r="T3505" s="140"/>
      <c r="U3505" s="139"/>
      <c r="V3505" s="139"/>
    </row>
    <row r="3506" spans="1:22" s="137" customFormat="1" ht="12.75" x14ac:dyDescent="0.25">
      <c r="A3506" s="156"/>
      <c r="B3506" s="157"/>
      <c r="C3506" s="157"/>
      <c r="D3506" s="174"/>
      <c r="E3506" s="157" t="s">
        <v>3182</v>
      </c>
      <c r="F3506" s="157"/>
      <c r="G3506" s="157"/>
      <c r="H3506" s="157"/>
      <c r="I3506" s="178">
        <f>ROUND(I3505*20%,2)</f>
        <v>41928189.380000003</v>
      </c>
      <c r="J3506" s="185"/>
      <c r="K3506" s="178">
        <f>ROUND(K3505*20%,2)</f>
        <v>46895684.039999999</v>
      </c>
      <c r="L3506" s="178"/>
      <c r="M3506" s="208">
        <f>ROUND(M3505*20%,2)</f>
        <v>46895684.039999999</v>
      </c>
      <c r="N3506" s="210">
        <f t="shared" si="341"/>
        <v>0</v>
      </c>
      <c r="O3506" s="139"/>
      <c r="Q3506" s="138"/>
      <c r="R3506" s="138"/>
      <c r="S3506" s="139"/>
      <c r="T3506" s="140"/>
      <c r="U3506" s="139"/>
      <c r="V3506" s="139"/>
    </row>
    <row r="3507" spans="1:22" s="128" customFormat="1" ht="12.75" x14ac:dyDescent="0.25">
      <c r="A3507" s="158"/>
      <c r="B3507" s="159"/>
      <c r="C3507" s="159"/>
      <c r="D3507" s="175"/>
      <c r="E3507" s="159" t="s">
        <v>3183</v>
      </c>
      <c r="F3507" s="159"/>
      <c r="G3507" s="159"/>
      <c r="H3507" s="159"/>
      <c r="I3507" s="78">
        <f>I3505+I3506</f>
        <v>251569136.28000003</v>
      </c>
      <c r="J3507" s="188"/>
      <c r="K3507" s="78">
        <f>K3505+K3506</f>
        <v>281374104.24000001</v>
      </c>
      <c r="L3507" s="78"/>
      <c r="M3507" s="208">
        <f>M3505+M3506</f>
        <v>281374104.24000001</v>
      </c>
      <c r="N3507" s="210">
        <f>M3507-K3507</f>
        <v>0</v>
      </c>
      <c r="O3507" s="209"/>
      <c r="Q3507" s="79"/>
      <c r="R3507" s="79"/>
      <c r="S3507" s="129"/>
      <c r="T3507" s="160"/>
      <c r="U3507" s="129"/>
      <c r="V3507" s="129"/>
    </row>
    <row r="3508" spans="1:22" x14ac:dyDescent="0.25">
      <c r="A3508" s="70"/>
      <c r="B3508" s="62"/>
      <c r="C3508" s="62"/>
      <c r="D3508" s="138"/>
      <c r="E3508" s="62"/>
      <c r="F3508" s="62"/>
      <c r="G3508" s="62"/>
      <c r="H3508" s="62"/>
      <c r="I3508" s="70"/>
    </row>
    <row r="3509" spans="1:22" x14ac:dyDescent="0.25">
      <c r="A3509" s="70"/>
      <c r="B3509" s="62"/>
      <c r="C3509" s="62"/>
      <c r="D3509" s="138"/>
      <c r="E3509" s="62"/>
      <c r="F3509" s="62"/>
      <c r="G3509" s="62"/>
      <c r="H3509" s="62"/>
      <c r="I3509" s="70"/>
    </row>
    <row r="3510" spans="1:22" hidden="1" outlineLevel="1" x14ac:dyDescent="0.25">
      <c r="A3510" s="68" t="s">
        <v>3184</v>
      </c>
      <c r="B3510" s="62"/>
      <c r="C3510" s="62"/>
      <c r="D3510" s="138"/>
      <c r="E3510" s="62"/>
      <c r="F3510" s="62"/>
      <c r="G3510" s="62"/>
      <c r="H3510" s="62"/>
      <c r="I3510" s="70"/>
    </row>
    <row r="3511" spans="1:22" hidden="1" outlineLevel="1" x14ac:dyDescent="0.25">
      <c r="A3511" s="68" t="s">
        <v>3185</v>
      </c>
      <c r="B3511" s="62"/>
      <c r="C3511" s="62"/>
      <c r="D3511" s="138"/>
      <c r="E3511" s="62" t="s">
        <v>3186</v>
      </c>
      <c r="F3511" s="62" t="s">
        <v>4122</v>
      </c>
      <c r="G3511" s="62"/>
      <c r="H3511" s="62"/>
      <c r="I3511" s="70"/>
    </row>
    <row r="3512" spans="1:22" hidden="1" outlineLevel="1" x14ac:dyDescent="0.25">
      <c r="A3512" s="70"/>
      <c r="B3512" s="62"/>
      <c r="C3512" s="62"/>
      <c r="D3512" s="138"/>
      <c r="E3512" s="163" t="s">
        <v>3187</v>
      </c>
      <c r="F3512" s="62"/>
      <c r="G3512" s="62"/>
      <c r="H3512" s="62"/>
      <c r="I3512" s="70"/>
    </row>
    <row r="3513" spans="1:22" hidden="1" outlineLevel="1" x14ac:dyDescent="0.25">
      <c r="A3513" s="70"/>
      <c r="B3513" s="62"/>
      <c r="C3513" s="62"/>
      <c r="D3513" s="138"/>
      <c r="E3513" s="62"/>
      <c r="F3513" s="62"/>
      <c r="G3513" s="62"/>
      <c r="H3513" s="62"/>
      <c r="I3513" s="70"/>
    </row>
    <row r="3514" spans="1:22" hidden="1" outlineLevel="1" x14ac:dyDescent="0.2">
      <c r="A3514" s="164" t="s">
        <v>3188</v>
      </c>
      <c r="B3514" s="164"/>
      <c r="C3514" s="62"/>
      <c r="D3514" s="138"/>
      <c r="E3514" s="62"/>
      <c r="F3514" s="62"/>
      <c r="G3514" s="62"/>
      <c r="H3514" s="62"/>
      <c r="I3514" s="70"/>
    </row>
    <row r="3515" spans="1:22" hidden="1" outlineLevel="1" x14ac:dyDescent="0.2">
      <c r="A3515" s="433" t="s">
        <v>3189</v>
      </c>
      <c r="B3515" s="433"/>
      <c r="C3515" s="62"/>
      <c r="D3515" s="138"/>
      <c r="E3515" s="62" t="s">
        <v>3186</v>
      </c>
      <c r="F3515" s="62" t="s">
        <v>3190</v>
      </c>
      <c r="G3515" s="62"/>
      <c r="H3515" s="62"/>
      <c r="I3515" s="70"/>
    </row>
    <row r="3516" spans="1:22" hidden="1" outlineLevel="1" x14ac:dyDescent="0.25">
      <c r="A3516" s="70"/>
      <c r="B3516" s="62"/>
      <c r="C3516" s="62"/>
      <c r="D3516" s="138"/>
      <c r="E3516" s="163" t="s">
        <v>3187</v>
      </c>
      <c r="F3516" s="62"/>
      <c r="G3516" s="62"/>
      <c r="H3516" s="62"/>
      <c r="I3516" s="70"/>
    </row>
    <row r="3517" spans="1:22" collapsed="1" x14ac:dyDescent="0.25">
      <c r="A3517" s="70"/>
      <c r="B3517" s="62"/>
      <c r="C3517" s="62"/>
      <c r="D3517" s="138"/>
      <c r="E3517" s="62"/>
      <c r="F3517" s="62"/>
      <c r="G3517" s="62"/>
      <c r="H3517" s="62"/>
      <c r="I3517" s="70"/>
    </row>
    <row r="3518" spans="1:22" x14ac:dyDescent="0.25">
      <c r="A3518" s="284"/>
      <c r="B3518" s="62"/>
      <c r="C3518" s="62"/>
      <c r="D3518" s="138"/>
      <c r="E3518" s="62"/>
      <c r="F3518" s="62"/>
      <c r="G3518" s="62"/>
      <c r="H3518" s="62"/>
      <c r="I3518" s="284"/>
    </row>
    <row r="3519" spans="1:22" outlineLevel="1" x14ac:dyDescent="0.25">
      <c r="A3519" s="68" t="s">
        <v>4123</v>
      </c>
      <c r="B3519" s="62"/>
      <c r="C3519" s="62"/>
      <c r="D3519" s="138"/>
      <c r="E3519" s="62"/>
      <c r="F3519" s="62"/>
      <c r="G3519" s="62"/>
      <c r="H3519" s="62"/>
      <c r="I3519" s="70"/>
    </row>
    <row r="3520" spans="1:22" outlineLevel="1" x14ac:dyDescent="0.25">
      <c r="A3520" s="422" t="s">
        <v>4124</v>
      </c>
      <c r="B3520" s="422"/>
      <c r="C3520" s="422"/>
      <c r="D3520" s="422"/>
      <c r="E3520" s="422"/>
      <c r="F3520" s="62" t="s">
        <v>4125</v>
      </c>
      <c r="G3520" s="62"/>
    </row>
    <row r="3521" spans="1:7" outlineLevel="1" x14ac:dyDescent="0.25">
      <c r="A3521" s="284"/>
      <c r="B3521" s="62"/>
      <c r="C3521" s="62"/>
      <c r="D3521" s="138"/>
      <c r="E3521" s="163" t="s">
        <v>3187</v>
      </c>
      <c r="F3521" s="62"/>
      <c r="G3521" s="62"/>
    </row>
    <row r="3522" spans="1:7" outlineLevel="1" x14ac:dyDescent="0.25">
      <c r="A3522" s="284"/>
      <c r="B3522" s="62"/>
      <c r="C3522" s="62"/>
      <c r="D3522" s="138"/>
      <c r="E3522" s="62"/>
      <c r="F3522" s="62"/>
      <c r="G3522" s="62"/>
    </row>
    <row r="3523" spans="1:7" outlineLevel="1" x14ac:dyDescent="0.2">
      <c r="A3523" s="164" t="s">
        <v>4126</v>
      </c>
      <c r="B3523" s="164"/>
      <c r="C3523" s="62"/>
      <c r="D3523" s="138"/>
      <c r="E3523" s="62"/>
      <c r="F3523" s="62"/>
      <c r="G3523" s="62"/>
    </row>
    <row r="3524" spans="1:7" outlineLevel="1" x14ac:dyDescent="0.25">
      <c r="A3524" s="422" t="s">
        <v>4124</v>
      </c>
      <c r="B3524" s="422"/>
      <c r="C3524" s="422"/>
      <c r="D3524" s="422"/>
      <c r="E3524" s="422"/>
      <c r="F3524" s="62" t="s">
        <v>4211</v>
      </c>
      <c r="G3524" s="62"/>
    </row>
    <row r="3525" spans="1:7" outlineLevel="1" x14ac:dyDescent="0.25">
      <c r="A3525" s="284"/>
      <c r="B3525" s="62"/>
      <c r="C3525" s="62"/>
      <c r="D3525" s="138"/>
      <c r="E3525" s="163" t="s">
        <v>3187</v>
      </c>
      <c r="F3525" s="62"/>
      <c r="G3525" s="62"/>
    </row>
  </sheetData>
  <mergeCells count="60">
    <mergeCell ref="A3520:E3520"/>
    <mergeCell ref="A3524:E3524"/>
    <mergeCell ref="L13:L15"/>
    <mergeCell ref="C14:D15"/>
    <mergeCell ref="A7:L7"/>
    <mergeCell ref="A9:L9"/>
    <mergeCell ref="A10:L10"/>
    <mergeCell ref="A11:L11"/>
    <mergeCell ref="A3515:B3515"/>
    <mergeCell ref="J13:K13"/>
    <mergeCell ref="J14:J15"/>
    <mergeCell ref="K14:K15"/>
    <mergeCell ref="B3481:D3481"/>
    <mergeCell ref="B3483:D3483"/>
    <mergeCell ref="B3486:D3486"/>
    <mergeCell ref="B3490:D3490"/>
    <mergeCell ref="B3105:D3105"/>
    <mergeCell ref="B3121:D3121"/>
    <mergeCell ref="B3492:D3492"/>
    <mergeCell ref="B3496:D3496"/>
    <mergeCell ref="B3190:D3190"/>
    <mergeCell ref="B3273:D3273"/>
    <mergeCell ref="B3347:D3347"/>
    <mergeCell ref="B3384:D3384"/>
    <mergeCell ref="B3431:D3431"/>
    <mergeCell ref="B3476:D3476"/>
    <mergeCell ref="B3160:D3160"/>
    <mergeCell ref="B2745:D2745"/>
    <mergeCell ref="B2825:D2825"/>
    <mergeCell ref="B1076:D1076"/>
    <mergeCell ref="H14:H15"/>
    <mergeCell ref="B556:D556"/>
    <mergeCell ref="B613:D613"/>
    <mergeCell ref="B705:D705"/>
    <mergeCell ref="B990:D990"/>
    <mergeCell ref="B2598:D2598"/>
    <mergeCell ref="B1638:D1638"/>
    <mergeCell ref="B1727:D1727"/>
    <mergeCell ref="B1866:D1866"/>
    <mergeCell ref="B2116:D2116"/>
    <mergeCell ref="B2122:D2122"/>
    <mergeCell ref="B2224:D2224"/>
    <mergeCell ref="B2342:D2342"/>
    <mergeCell ref="B17:D17"/>
    <mergeCell ref="B280:D280"/>
    <mergeCell ref="B425:D425"/>
    <mergeCell ref="B460:D460"/>
    <mergeCell ref="B2620:D2620"/>
    <mergeCell ref="B2362:D2362"/>
    <mergeCell ref="B2436:D2436"/>
    <mergeCell ref="B2516:D2516"/>
    <mergeCell ref="B2540:D2540"/>
    <mergeCell ref="H13:I13"/>
    <mergeCell ref="B14:B15"/>
    <mergeCell ref="A13:A15"/>
    <mergeCell ref="B13:D13"/>
    <mergeCell ref="E13:E15"/>
    <mergeCell ref="F13:F15"/>
    <mergeCell ref="G13:G15"/>
    <mergeCell ref="I14:I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fitToHeight="10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97E6-9ACE-4EA6-8545-2D49349F4238}">
  <dimension ref="A1:G61"/>
  <sheetViews>
    <sheetView topLeftCell="A19" zoomScale="75" zoomScaleNormal="75" workbookViewId="0">
      <selection activeCell="B52" sqref="B52:E52"/>
    </sheetView>
  </sheetViews>
  <sheetFormatPr defaultColWidth="9.140625" defaultRowHeight="12.75" outlineLevelRow="1" x14ac:dyDescent="0.2"/>
  <cols>
    <col min="1" max="1" width="4.5703125" style="390" customWidth="1"/>
    <col min="2" max="2" width="58.42578125" style="390" customWidth="1"/>
    <col min="3" max="3" width="25.140625" style="390" customWidth="1"/>
    <col min="4" max="4" width="14.140625" style="390" customWidth="1"/>
    <col min="5" max="5" width="17.7109375" style="390" customWidth="1"/>
    <col min="6" max="6" width="14.140625" style="391" customWidth="1"/>
    <col min="7" max="7" width="18.42578125" style="390" customWidth="1"/>
    <col min="8" max="16384" width="9.140625" style="390"/>
  </cols>
  <sheetData>
    <row r="1" spans="1:7" customFormat="1" ht="15" x14ac:dyDescent="0.25">
      <c r="A1" s="357"/>
      <c r="B1" s="357"/>
      <c r="C1" s="357"/>
      <c r="D1" s="357"/>
      <c r="E1" s="357"/>
      <c r="F1" s="299"/>
      <c r="G1" s="358"/>
    </row>
    <row r="2" spans="1:7" customFormat="1" ht="30.75" customHeight="1" x14ac:dyDescent="0.25">
      <c r="A2" s="359"/>
      <c r="B2" s="435" t="s">
        <v>4112</v>
      </c>
      <c r="C2" s="435"/>
      <c r="D2" s="435"/>
      <c r="E2" s="435"/>
      <c r="F2" s="435"/>
      <c r="G2" s="435"/>
    </row>
    <row r="3" spans="1:7" customFormat="1" ht="27" customHeight="1" x14ac:dyDescent="0.25">
      <c r="A3" s="359"/>
      <c r="B3" s="436" t="s">
        <v>4139</v>
      </c>
      <c r="C3" s="436"/>
      <c r="D3" s="436"/>
      <c r="E3" s="436"/>
      <c r="F3" s="436"/>
      <c r="G3" s="436"/>
    </row>
    <row r="4" spans="1:7" customFormat="1" ht="27" customHeight="1" x14ac:dyDescent="0.25">
      <c r="A4" s="359"/>
      <c r="B4" s="437" t="s">
        <v>4113</v>
      </c>
      <c r="C4" s="437"/>
      <c r="D4" s="437"/>
      <c r="E4" s="437"/>
      <c r="F4" s="437"/>
      <c r="G4" s="437"/>
    </row>
    <row r="5" spans="1:7" customFormat="1" ht="15" x14ac:dyDescent="0.25">
      <c r="A5" s="359" t="s">
        <v>0</v>
      </c>
      <c r="B5" s="360"/>
      <c r="C5" s="361"/>
      <c r="D5" s="361"/>
      <c r="E5" s="361"/>
      <c r="F5" s="361"/>
      <c r="G5" s="361"/>
    </row>
    <row r="6" spans="1:7" customFormat="1" ht="27" customHeight="1" x14ac:dyDescent="0.25">
      <c r="A6" s="362" t="s">
        <v>1</v>
      </c>
      <c r="B6" s="434" t="s">
        <v>179</v>
      </c>
      <c r="C6" s="434"/>
      <c r="D6" s="434"/>
      <c r="E6" s="434"/>
      <c r="F6" s="434"/>
      <c r="G6" s="434"/>
    </row>
    <row r="7" spans="1:7" customFormat="1" ht="27" customHeight="1" x14ac:dyDescent="0.25">
      <c r="A7" s="362" t="s">
        <v>2</v>
      </c>
      <c r="B7" s="434" t="s">
        <v>165</v>
      </c>
      <c r="C7" s="434"/>
      <c r="D7" s="434"/>
      <c r="E7" s="434"/>
      <c r="F7" s="434"/>
      <c r="G7" s="434"/>
    </row>
    <row r="8" spans="1:7" customFormat="1" ht="27" customHeight="1" x14ac:dyDescent="0.25">
      <c r="A8" s="362" t="s">
        <v>3</v>
      </c>
      <c r="B8" s="434" t="s">
        <v>4217</v>
      </c>
      <c r="C8" s="434"/>
      <c r="D8" s="434"/>
      <c r="E8" s="434"/>
      <c r="F8" s="434"/>
      <c r="G8" s="434"/>
    </row>
    <row r="9" spans="1:7" customFormat="1" ht="15.75" customHeight="1" thickBot="1" x14ac:dyDescent="0.3">
      <c r="A9" s="357"/>
      <c r="B9" s="363"/>
      <c r="C9" s="363"/>
      <c r="D9" s="363"/>
      <c r="E9" s="363"/>
      <c r="F9" s="67"/>
      <c r="G9" s="363"/>
    </row>
    <row r="10" spans="1:7" customFormat="1" ht="146.25" customHeight="1" thickBot="1" x14ac:dyDescent="0.3">
      <c r="A10" s="439" t="s">
        <v>4</v>
      </c>
      <c r="B10" s="440"/>
      <c r="C10" s="301" t="s">
        <v>4218</v>
      </c>
      <c r="D10" s="301" t="s">
        <v>5</v>
      </c>
      <c r="E10" s="301" t="s">
        <v>4219</v>
      </c>
      <c r="F10" s="301" t="s">
        <v>6</v>
      </c>
      <c r="G10" s="60" t="s">
        <v>7</v>
      </c>
    </row>
    <row r="11" spans="1:7" customFormat="1" ht="15" customHeight="1" x14ac:dyDescent="0.25">
      <c r="A11" s="441">
        <v>1</v>
      </c>
      <c r="B11" s="442"/>
      <c r="C11" s="364">
        <v>2</v>
      </c>
      <c r="D11" s="364">
        <v>3</v>
      </c>
      <c r="E11" s="364">
        <v>4</v>
      </c>
      <c r="F11" s="302">
        <v>5</v>
      </c>
      <c r="G11" s="365">
        <v>6</v>
      </c>
    </row>
    <row r="12" spans="1:7" customFormat="1" ht="15" customHeight="1" x14ac:dyDescent="0.25">
      <c r="A12" s="443" t="s">
        <v>8</v>
      </c>
      <c r="B12" s="444"/>
      <c r="C12" s="366"/>
      <c r="D12" s="367"/>
      <c r="E12" s="366"/>
      <c r="F12" s="64"/>
      <c r="G12" s="368"/>
    </row>
    <row r="13" spans="1:7" customFormat="1" ht="15" customHeight="1" x14ac:dyDescent="0.25">
      <c r="A13" s="443" t="s">
        <v>9</v>
      </c>
      <c r="B13" s="444"/>
      <c r="C13" s="366"/>
      <c r="D13" s="367"/>
      <c r="E13" s="366"/>
      <c r="F13" s="64"/>
      <c r="G13" s="368"/>
    </row>
    <row r="14" spans="1:7" customFormat="1" ht="15" customHeight="1" thickBot="1" x14ac:dyDescent="0.3">
      <c r="A14" s="445" t="s">
        <v>10</v>
      </c>
      <c r="B14" s="446"/>
      <c r="C14" s="369"/>
      <c r="D14" s="370"/>
      <c r="E14" s="369"/>
      <c r="F14" s="65"/>
      <c r="G14" s="371"/>
    </row>
    <row r="15" spans="1:7" customFormat="1" ht="15" customHeight="1" x14ac:dyDescent="0.25">
      <c r="A15" s="372"/>
      <c r="B15" s="372"/>
      <c r="C15" s="373"/>
      <c r="D15" s="373"/>
      <c r="E15" s="373"/>
      <c r="F15" s="66"/>
      <c r="G15" s="373"/>
    </row>
    <row r="16" spans="1:7" customFormat="1" ht="12.75" customHeight="1" x14ac:dyDescent="0.25">
      <c r="A16" s="357"/>
      <c r="B16" s="298" t="s">
        <v>11</v>
      </c>
      <c r="C16" s="447" t="s">
        <v>182</v>
      </c>
      <c r="D16" s="447"/>
      <c r="E16" s="374"/>
      <c r="F16" s="67"/>
      <c r="G16" s="375"/>
    </row>
    <row r="17" spans="1:7" customFormat="1" ht="12.75" customHeight="1" x14ac:dyDescent="0.25">
      <c r="A17" s="357"/>
      <c r="B17" s="298" t="s">
        <v>12</v>
      </c>
      <c r="C17" s="299" t="s">
        <v>4220</v>
      </c>
      <c r="D17" s="299"/>
      <c r="E17" s="297"/>
      <c r="F17" s="299"/>
      <c r="G17" s="376"/>
    </row>
    <row r="18" spans="1:7" customFormat="1" ht="12.75" customHeight="1" x14ac:dyDescent="0.25">
      <c r="A18" s="357"/>
      <c r="B18" s="298" t="s">
        <v>13</v>
      </c>
      <c r="C18" s="299" t="s">
        <v>4130</v>
      </c>
      <c r="D18" s="299"/>
      <c r="E18" s="297"/>
      <c r="F18" s="299"/>
      <c r="G18" s="376"/>
    </row>
    <row r="19" spans="1:7" customFormat="1" ht="12.75" customHeight="1" x14ac:dyDescent="0.25">
      <c r="A19" s="357"/>
      <c r="B19" s="298" t="s">
        <v>14</v>
      </c>
      <c r="C19" s="299" t="s">
        <v>4221</v>
      </c>
      <c r="D19" s="299"/>
      <c r="E19" s="297"/>
      <c r="F19" s="299"/>
      <c r="G19" s="376"/>
    </row>
    <row r="20" spans="1:7" customFormat="1" ht="12.75" customHeight="1" x14ac:dyDescent="0.25">
      <c r="A20" s="357"/>
      <c r="B20" s="298" t="s">
        <v>15</v>
      </c>
      <c r="C20" s="447" t="s">
        <v>4222</v>
      </c>
      <c r="D20" s="447"/>
      <c r="E20" s="297"/>
      <c r="F20" s="299"/>
      <c r="G20" s="376"/>
    </row>
    <row r="21" spans="1:7" customFormat="1" ht="15" customHeight="1" x14ac:dyDescent="0.25">
      <c r="A21" s="357"/>
      <c r="B21" s="358"/>
      <c r="C21" s="376"/>
      <c r="D21" s="376"/>
      <c r="E21" s="376"/>
      <c r="F21" s="299"/>
      <c r="G21" s="358"/>
    </row>
    <row r="22" spans="1:7" customFormat="1" ht="19.5" customHeight="1" x14ac:dyDescent="0.25">
      <c r="A22" s="377" t="s">
        <v>16</v>
      </c>
      <c r="B22" s="377"/>
      <c r="C22" s="377"/>
      <c r="D22" s="377"/>
      <c r="E22" s="377"/>
      <c r="F22" s="378"/>
      <c r="G22" s="377"/>
    </row>
    <row r="23" spans="1:7" customFormat="1" ht="12.75" customHeight="1" x14ac:dyDescent="0.25">
      <c r="A23" s="357"/>
      <c r="B23" s="438" t="s">
        <v>4114</v>
      </c>
      <c r="C23" s="438"/>
      <c r="D23" s="297" t="s">
        <v>4115</v>
      </c>
      <c r="E23" s="379"/>
      <c r="F23" s="380">
        <f>D23/100%</f>
        <v>1.0550999999999999</v>
      </c>
      <c r="G23" s="379"/>
    </row>
    <row r="24" spans="1:7" customFormat="1" ht="12.75" customHeight="1" x14ac:dyDescent="0.25">
      <c r="A24" s="357"/>
      <c r="B24" s="438" t="s">
        <v>4116</v>
      </c>
      <c r="C24" s="438"/>
      <c r="D24" s="287">
        <v>1.0044999999999999</v>
      </c>
      <c r="E24" s="379"/>
      <c r="F24" s="380">
        <f t="shared" ref="F24:F35" si="0">D24/100%</f>
        <v>1.0044999999999999</v>
      </c>
      <c r="G24" s="379"/>
    </row>
    <row r="25" spans="1:7" customFormat="1" ht="12.75" customHeight="1" x14ac:dyDescent="0.25">
      <c r="A25" s="357"/>
      <c r="B25" s="438" t="s">
        <v>4117</v>
      </c>
      <c r="C25" s="438"/>
      <c r="D25" s="287">
        <v>1.0032000000000001</v>
      </c>
      <c r="E25" s="379"/>
      <c r="F25" s="380">
        <f t="shared" si="0"/>
        <v>1.0032000000000001</v>
      </c>
      <c r="G25" s="379"/>
    </row>
    <row r="26" spans="1:7" customFormat="1" ht="12.75" customHeight="1" x14ac:dyDescent="0.25">
      <c r="A26" s="357"/>
      <c r="B26" s="438" t="s">
        <v>4118</v>
      </c>
      <c r="C26" s="438"/>
      <c r="D26" s="287">
        <v>1.0048999999999999</v>
      </c>
      <c r="E26" s="379"/>
      <c r="F26" s="380">
        <f t="shared" si="0"/>
        <v>1.0048999999999999</v>
      </c>
      <c r="G26" s="379"/>
    </row>
    <row r="27" spans="1:7" customFormat="1" ht="12.75" customHeight="1" x14ac:dyDescent="0.25">
      <c r="A27" s="357"/>
      <c r="B27" s="438" t="s">
        <v>4137</v>
      </c>
      <c r="C27" s="438"/>
      <c r="D27" s="287">
        <v>1.0064</v>
      </c>
      <c r="E27" s="379"/>
      <c r="F27" s="380">
        <f t="shared" si="0"/>
        <v>1.0064</v>
      </c>
      <c r="G27" s="379"/>
    </row>
    <row r="28" spans="1:7" customFormat="1" ht="12.75" customHeight="1" x14ac:dyDescent="0.25">
      <c r="A28" s="357"/>
      <c r="B28" s="438" t="s">
        <v>4131</v>
      </c>
      <c r="C28" s="438"/>
      <c r="D28" s="287">
        <v>1.0062</v>
      </c>
      <c r="E28" s="379"/>
      <c r="F28" s="380">
        <f t="shared" si="0"/>
        <v>1.0062</v>
      </c>
      <c r="G28" s="379"/>
    </row>
    <row r="29" spans="1:7" customFormat="1" ht="12.75" customHeight="1" x14ac:dyDescent="0.25">
      <c r="A29" s="357"/>
      <c r="B29" s="438" t="s">
        <v>4132</v>
      </c>
      <c r="C29" s="438"/>
      <c r="D29" s="287">
        <v>1.0047999999999999</v>
      </c>
      <c r="E29" s="379"/>
      <c r="F29" s="380">
        <f t="shared" si="0"/>
        <v>1.0047999999999999</v>
      </c>
      <c r="G29" s="379"/>
    </row>
    <row r="30" spans="1:7" customFormat="1" ht="12.75" customHeight="1" x14ac:dyDescent="0.25">
      <c r="A30" s="357"/>
      <c r="B30" s="438" t="s">
        <v>4134</v>
      </c>
      <c r="C30" s="438"/>
      <c r="D30" s="287">
        <v>1.0035000000000001</v>
      </c>
      <c r="E30" s="379"/>
      <c r="F30" s="380">
        <f t="shared" si="0"/>
        <v>1.0035000000000001</v>
      </c>
      <c r="G30" s="379"/>
    </row>
    <row r="31" spans="1:7" customFormat="1" ht="12.75" customHeight="1" x14ac:dyDescent="0.25">
      <c r="A31" s="357"/>
      <c r="B31" s="438" t="s">
        <v>4133</v>
      </c>
      <c r="C31" s="438"/>
      <c r="D31" s="287">
        <v>0.99390000000000001</v>
      </c>
      <c r="E31" s="379"/>
      <c r="F31" s="380">
        <f t="shared" si="0"/>
        <v>0.99390000000000001</v>
      </c>
      <c r="G31" s="379"/>
    </row>
    <row r="32" spans="1:7" customFormat="1" ht="12.75" customHeight="1" x14ac:dyDescent="0.25">
      <c r="A32" s="357"/>
      <c r="B32" s="438" t="s">
        <v>4135</v>
      </c>
      <c r="C32" s="438"/>
      <c r="D32" s="287">
        <v>0.99690000000000001</v>
      </c>
      <c r="E32" s="379"/>
      <c r="F32" s="380">
        <f t="shared" si="0"/>
        <v>0.99690000000000001</v>
      </c>
      <c r="G32" s="379"/>
    </row>
    <row r="33" spans="1:7" customFormat="1" ht="12.75" customHeight="1" x14ac:dyDescent="0.25">
      <c r="A33" s="357"/>
      <c r="B33" s="438" t="s">
        <v>4223</v>
      </c>
      <c r="C33" s="438"/>
      <c r="D33" s="287">
        <v>1.0001</v>
      </c>
      <c r="E33" s="379"/>
      <c r="F33" s="380">
        <f t="shared" si="0"/>
        <v>1.0001</v>
      </c>
      <c r="G33" s="379"/>
    </row>
    <row r="34" spans="1:7" customFormat="1" ht="12.75" customHeight="1" x14ac:dyDescent="0.25">
      <c r="A34" s="357"/>
      <c r="B34" s="438" t="s">
        <v>4224</v>
      </c>
      <c r="C34" s="438"/>
      <c r="D34" s="287">
        <v>1.0001</v>
      </c>
      <c r="E34" s="379"/>
      <c r="F34" s="380">
        <f t="shared" si="0"/>
        <v>1.0001</v>
      </c>
      <c r="G34" s="379"/>
    </row>
    <row r="35" spans="1:7" customFormat="1" ht="12.75" customHeight="1" x14ac:dyDescent="0.25">
      <c r="A35" s="357"/>
      <c r="B35" s="438" t="s">
        <v>4225</v>
      </c>
      <c r="C35" s="438"/>
      <c r="D35" s="287">
        <v>1.0001</v>
      </c>
      <c r="E35" s="379"/>
      <c r="F35" s="380">
        <f t="shared" si="0"/>
        <v>1.0001</v>
      </c>
      <c r="G35" s="379"/>
    </row>
    <row r="36" spans="1:7" customFormat="1" ht="25.5" customHeight="1" x14ac:dyDescent="0.25">
      <c r="A36" s="357"/>
      <c r="B36" s="450" t="s">
        <v>17</v>
      </c>
      <c r="C36" s="450"/>
      <c r="D36" s="288"/>
      <c r="E36" s="379"/>
      <c r="F36" s="67"/>
      <c r="G36" s="379"/>
    </row>
    <row r="37" spans="1:7" customFormat="1" ht="25.5" customHeight="1" x14ac:dyDescent="0.25">
      <c r="A37" s="357"/>
      <c r="B37" s="451" t="s">
        <v>4237</v>
      </c>
      <c r="C37" s="451"/>
      <c r="D37" s="381"/>
      <c r="E37" s="379"/>
      <c r="F37" s="382">
        <f>ROUND(1.0551*1.0045*1.0032*1.0049*1.0064*1.0062*1.0048*1.0035*0.9939*0.9969*1.0001*1.0001*1.0001,4)</f>
        <v>1.0812999999999999</v>
      </c>
      <c r="G37" s="379"/>
    </row>
    <row r="38" spans="1:7" customFormat="1" ht="15" x14ac:dyDescent="0.25">
      <c r="A38" s="357"/>
      <c r="B38" s="383"/>
      <c r="C38" s="383"/>
      <c r="D38" s="379"/>
      <c r="E38" s="379"/>
      <c r="F38" s="67"/>
      <c r="G38" s="379"/>
    </row>
    <row r="39" spans="1:7" s="384" customFormat="1" ht="21" customHeight="1" x14ac:dyDescent="0.25">
      <c r="A39" s="452" t="s">
        <v>18</v>
      </c>
      <c r="B39" s="452"/>
      <c r="C39" s="452"/>
      <c r="D39" s="452"/>
      <c r="E39" s="452"/>
      <c r="F39" s="452"/>
      <c r="G39" s="452"/>
    </row>
    <row r="40" spans="1:7" s="384" customFormat="1" ht="15" customHeight="1" x14ac:dyDescent="0.25">
      <c r="A40" s="289"/>
      <c r="B40" s="290" t="s">
        <v>4226</v>
      </c>
      <c r="C40" s="61"/>
      <c r="D40" s="448">
        <v>0.5</v>
      </c>
      <c r="E40" s="449"/>
      <c r="F40" s="300"/>
      <c r="G40" s="291"/>
    </row>
    <row r="41" spans="1:7" s="384" customFormat="1" ht="15" customHeight="1" x14ac:dyDescent="0.25">
      <c r="A41" s="289"/>
      <c r="B41" s="290" t="s">
        <v>4227</v>
      </c>
      <c r="C41" s="61"/>
      <c r="D41" s="448">
        <v>0.5</v>
      </c>
      <c r="E41" s="449"/>
      <c r="F41" s="300"/>
      <c r="G41" s="291"/>
    </row>
    <row r="42" spans="1:7" s="384" customFormat="1" ht="15" customHeight="1" x14ac:dyDescent="0.25">
      <c r="A42" s="289"/>
      <c r="B42" s="453" t="s">
        <v>19</v>
      </c>
      <c r="C42" s="453"/>
      <c r="D42" s="291"/>
      <c r="E42" s="291"/>
      <c r="F42" s="300"/>
      <c r="G42" s="291"/>
    </row>
    <row r="43" spans="1:7" s="384" customFormat="1" ht="15" customHeight="1" x14ac:dyDescent="0.25">
      <c r="A43" s="289"/>
      <c r="B43" s="438" t="s">
        <v>4119</v>
      </c>
      <c r="C43" s="438"/>
      <c r="D43" s="449"/>
      <c r="E43" s="449"/>
      <c r="F43" s="299" t="s">
        <v>4228</v>
      </c>
      <c r="G43" s="291"/>
    </row>
    <row r="44" spans="1:7" s="384" customFormat="1" ht="15" customHeight="1" x14ac:dyDescent="0.25">
      <c r="A44" s="289"/>
      <c r="B44" s="438" t="s">
        <v>4229</v>
      </c>
      <c r="C44" s="438"/>
      <c r="D44" s="449"/>
      <c r="E44" s="449"/>
      <c r="F44" s="299" t="s">
        <v>4230</v>
      </c>
      <c r="G44" s="291"/>
    </row>
    <row r="45" spans="1:7" s="384" customFormat="1" ht="15" customHeight="1" x14ac:dyDescent="0.25">
      <c r="A45" s="289"/>
      <c r="B45" s="453" t="s">
        <v>20</v>
      </c>
      <c r="C45" s="453"/>
      <c r="D45" s="291"/>
      <c r="E45" s="291"/>
      <c r="F45" s="300"/>
      <c r="G45" s="291"/>
    </row>
    <row r="46" spans="1:7" s="384" customFormat="1" ht="15" customHeight="1" x14ac:dyDescent="0.25">
      <c r="A46" s="289"/>
      <c r="B46" s="438" t="s">
        <v>4119</v>
      </c>
      <c r="C46" s="438"/>
      <c r="D46" s="449" t="s">
        <v>4136</v>
      </c>
      <c r="E46" s="449"/>
      <c r="F46" s="385">
        <v>1.0063</v>
      </c>
      <c r="G46" s="291"/>
    </row>
    <row r="47" spans="1:7" s="384" customFormat="1" ht="15" customHeight="1" x14ac:dyDescent="0.25">
      <c r="A47" s="289"/>
      <c r="B47" s="438" t="s">
        <v>4229</v>
      </c>
      <c r="C47" s="438"/>
      <c r="D47" s="449" t="s">
        <v>21</v>
      </c>
      <c r="E47" s="449"/>
      <c r="F47" s="385">
        <v>1.0043</v>
      </c>
      <c r="G47" s="291"/>
    </row>
    <row r="48" spans="1:7" s="384" customFormat="1" ht="15" customHeight="1" x14ac:dyDescent="0.25">
      <c r="A48" s="289"/>
      <c r="B48" s="453" t="s">
        <v>22</v>
      </c>
      <c r="C48" s="453"/>
      <c r="D48" s="291"/>
      <c r="E48" s="291"/>
      <c r="F48" s="300"/>
      <c r="G48" s="291"/>
    </row>
    <row r="49" spans="1:7" s="384" customFormat="1" ht="15" customHeight="1" x14ac:dyDescent="0.25">
      <c r="A49" s="289"/>
      <c r="B49" s="438" t="s">
        <v>4120</v>
      </c>
      <c r="C49" s="438"/>
      <c r="D49" s="449" t="s">
        <v>4231</v>
      </c>
      <c r="E49" s="449"/>
      <c r="F49" s="385">
        <v>1.0192000000000001</v>
      </c>
      <c r="G49" s="291"/>
    </row>
    <row r="50" spans="1:7" s="384" customFormat="1" ht="15" customHeight="1" x14ac:dyDescent="0.25">
      <c r="A50" s="289"/>
      <c r="B50" s="438" t="s">
        <v>4232</v>
      </c>
      <c r="C50" s="438"/>
      <c r="D50" s="449" t="s">
        <v>4233</v>
      </c>
      <c r="E50" s="449"/>
      <c r="F50" s="385">
        <v>1.0496000000000001</v>
      </c>
      <c r="G50" s="291"/>
    </row>
    <row r="51" spans="1:7" s="384" customFormat="1" ht="15" customHeight="1" x14ac:dyDescent="0.25">
      <c r="A51" s="289"/>
      <c r="B51" s="453" t="s">
        <v>23</v>
      </c>
      <c r="C51" s="453"/>
      <c r="D51" s="453"/>
      <c r="E51" s="453"/>
      <c r="F51" s="300"/>
      <c r="G51" s="291"/>
    </row>
    <row r="52" spans="1:7" s="384" customFormat="1" ht="15" customHeight="1" x14ac:dyDescent="0.25">
      <c r="A52" s="289"/>
      <c r="B52" s="453" t="s">
        <v>4234</v>
      </c>
      <c r="C52" s="453"/>
      <c r="D52" s="453"/>
      <c r="E52" s="453"/>
      <c r="F52" s="386">
        <v>1.0344</v>
      </c>
      <c r="G52" s="291"/>
    </row>
    <row r="53" spans="1:7" customFormat="1" ht="15" x14ac:dyDescent="0.25">
      <c r="B53" s="387"/>
      <c r="C53" s="387"/>
      <c r="D53" s="387"/>
      <c r="E53" s="387"/>
      <c r="F53" s="69"/>
      <c r="G53" s="387"/>
    </row>
    <row r="54" spans="1:7" customFormat="1" ht="15" hidden="1" outlineLevel="1" x14ac:dyDescent="0.25">
      <c r="B54" s="388" t="s">
        <v>167</v>
      </c>
      <c r="C54" s="389"/>
      <c r="F54" s="311"/>
    </row>
    <row r="55" spans="1:7" customFormat="1" ht="15" hidden="1" outlineLevel="1" x14ac:dyDescent="0.25">
      <c r="B55" s="388" t="s">
        <v>24</v>
      </c>
      <c r="C55" s="389"/>
      <c r="F55" s="311"/>
    </row>
    <row r="56" spans="1:7" customFormat="1" ht="15" hidden="1" outlineLevel="1" x14ac:dyDescent="0.25">
      <c r="B56" s="388" t="s">
        <v>168</v>
      </c>
      <c r="C56" s="389"/>
      <c r="F56" s="311"/>
    </row>
    <row r="57" spans="1:7" customFormat="1" ht="15" hidden="1" outlineLevel="1" x14ac:dyDescent="0.25">
      <c r="B57" s="388" t="s">
        <v>169</v>
      </c>
      <c r="C57" s="389"/>
      <c r="F57" s="311"/>
    </row>
    <row r="58" spans="1:7" customFormat="1" ht="15" hidden="1" outlineLevel="1" x14ac:dyDescent="0.25">
      <c r="B58" s="388" t="s">
        <v>170</v>
      </c>
      <c r="C58" s="389"/>
      <c r="F58" s="311"/>
    </row>
    <row r="59" spans="1:7" customFormat="1" ht="15" collapsed="1" x14ac:dyDescent="0.25">
      <c r="B59" s="388" t="s">
        <v>171</v>
      </c>
      <c r="C59" s="389"/>
      <c r="F59" s="311"/>
    </row>
    <row r="60" spans="1:7" customFormat="1" ht="15" x14ac:dyDescent="0.25">
      <c r="B60" s="388" t="s">
        <v>172</v>
      </c>
      <c r="C60" s="389"/>
      <c r="F60" s="311"/>
    </row>
    <row r="61" spans="1:7" ht="12.75" customHeight="1" x14ac:dyDescent="0.2">
      <c r="B61" s="388"/>
    </row>
  </sheetData>
  <mergeCells count="48">
    <mergeCell ref="B52:E52"/>
    <mergeCell ref="B45:C45"/>
    <mergeCell ref="B46:C46"/>
    <mergeCell ref="D46:E46"/>
    <mergeCell ref="B47:C47"/>
    <mergeCell ref="D47:E47"/>
    <mergeCell ref="B48:C48"/>
    <mergeCell ref="B49:C49"/>
    <mergeCell ref="D49:E49"/>
    <mergeCell ref="B50:C50"/>
    <mergeCell ref="D50:E50"/>
    <mergeCell ref="B51:E51"/>
    <mergeCell ref="D41:E41"/>
    <mergeCell ref="B42:C42"/>
    <mergeCell ref="B43:C43"/>
    <mergeCell ref="D43:E43"/>
    <mergeCell ref="B44:C44"/>
    <mergeCell ref="D44:E44"/>
    <mergeCell ref="D40:E40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39:G39"/>
    <mergeCell ref="B27:C27"/>
    <mergeCell ref="A10:B10"/>
    <mergeCell ref="A11:B11"/>
    <mergeCell ref="A12:B12"/>
    <mergeCell ref="A13:B13"/>
    <mergeCell ref="A14:B14"/>
    <mergeCell ref="C16:D16"/>
    <mergeCell ref="C20:D20"/>
    <mergeCell ref="B23:C23"/>
    <mergeCell ref="B24:C24"/>
    <mergeCell ref="B25:C25"/>
    <mergeCell ref="B26:C26"/>
    <mergeCell ref="B8:G8"/>
    <mergeCell ref="B2:G2"/>
    <mergeCell ref="B3:G3"/>
    <mergeCell ref="B4:G4"/>
    <mergeCell ref="B6:G6"/>
    <mergeCell ref="B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ССРСС 2025 Мирн</vt:lpstr>
      <vt:lpstr>НМЦК 2025</vt:lpstr>
      <vt:lpstr>Проект сметы контракта</vt:lpstr>
      <vt:lpstr>Расчет ИД к НМЦК</vt:lpstr>
      <vt:lpstr>'Проект сметы контракта'!Заголовки_для_печати</vt:lpstr>
      <vt:lpstr>'Проект сметы контракта'!Область_печати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Абдураманов Ремзи Рефикович</dc:creator>
  <cp:lastModifiedBy>Хараев Борис Валерьевич</cp:lastModifiedBy>
  <cp:lastPrinted>2025-06-23T12:42:05Z</cp:lastPrinted>
  <dcterms:created xsi:type="dcterms:W3CDTF">2020-09-25T12:10:42Z</dcterms:created>
  <dcterms:modified xsi:type="dcterms:W3CDTF">2025-06-24T09:46:11Z</dcterms:modified>
</cp:coreProperties>
</file>